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Мои Города" sheetId="1" r:id="rId1"/>
    <sheet name="Себестоимость и Рынок" sheetId="2" r:id="rId2"/>
    <sheet name="Расчетные формулы" sheetId="3" r:id="rId3"/>
    <sheet name="Калькулятор Героя" sheetId="4" r:id="rId4"/>
    <sheet name="Справочные данные" sheetId="5" r:id="rId5"/>
  </sheets>
  <definedNames/>
  <calcPr fullCalcOnLoad="1"/>
</workbook>
</file>

<file path=xl/comments1.xml><?xml version="1.0" encoding="utf-8"?>
<comments xmlns="http://schemas.openxmlformats.org/spreadsheetml/2006/main">
  <authors>
    <author>KM</author>
  </authors>
  <commentList>
    <comment ref="P3" authorId="0">
      <text>
        <r>
          <rPr>
            <b/>
            <sz val="8"/>
            <rFont val="Tahoma"/>
            <family val="2"/>
          </rPr>
          <t>Учитывайте, что в этой и соседних столбцах расчет ведется от количества задействованных в работе крестьян</t>
        </r>
      </text>
    </comment>
    <comment ref="F7" authorId="0">
      <text>
        <r>
          <rPr>
            <b/>
            <sz val="8"/>
            <rFont val="Tahoma"/>
            <family val="2"/>
          </rPr>
          <t>Предполагается, что шахта у вас стоит на ТРЕТЬЕЙ клетке от замка.</t>
        </r>
        <r>
          <rPr>
            <sz val="8"/>
            <rFont val="Tahoma"/>
            <family val="2"/>
          </rPr>
          <t xml:space="preserve">
</t>
        </r>
      </text>
    </comment>
    <comment ref="P18" authorId="0">
      <text>
        <r>
          <rPr>
            <b/>
            <sz val="8"/>
            <rFont val="Tahoma"/>
            <family val="2"/>
          </rPr>
          <t>Учитывайте, что в этой и соседних столбцах расчет ведется от количества задействованных в работе крестьян</t>
        </r>
      </text>
    </comment>
    <comment ref="F22" authorId="0">
      <text>
        <r>
          <rPr>
            <b/>
            <sz val="8"/>
            <rFont val="Tahoma"/>
            <family val="2"/>
          </rPr>
          <t>Предполагается, что шахта у вас стоит на ТРЕТЬЕЙ клетке от замка.</t>
        </r>
        <r>
          <rPr>
            <sz val="8"/>
            <rFont val="Tahoma"/>
            <family val="2"/>
          </rPr>
          <t xml:space="preserve">
</t>
        </r>
      </text>
    </comment>
    <comment ref="P33" authorId="0">
      <text>
        <r>
          <rPr>
            <b/>
            <sz val="8"/>
            <rFont val="Tahoma"/>
            <family val="2"/>
          </rPr>
          <t>Учитывайте, что в этой и соседних столбцах расчет ведется от количества задействованных в работе крестьян</t>
        </r>
      </text>
    </comment>
    <comment ref="F37" authorId="0">
      <text>
        <r>
          <rPr>
            <b/>
            <sz val="8"/>
            <rFont val="Tahoma"/>
            <family val="2"/>
          </rPr>
          <t>Предполагается, что шахта у вас стоит на ТРЕТЬЕЙ клетке от замка.</t>
        </r>
        <r>
          <rPr>
            <sz val="8"/>
            <rFont val="Tahoma"/>
            <family val="2"/>
          </rPr>
          <t xml:space="preserve">
</t>
        </r>
      </text>
    </comment>
    <comment ref="P48" authorId="0">
      <text>
        <r>
          <rPr>
            <b/>
            <sz val="8"/>
            <rFont val="Tahoma"/>
            <family val="2"/>
          </rPr>
          <t>Учитывайте, что в этой и соседних столбцах расчет ведется от количества задействованных в работе крестьян</t>
        </r>
      </text>
    </comment>
    <comment ref="F52" authorId="0">
      <text>
        <r>
          <rPr>
            <b/>
            <sz val="8"/>
            <rFont val="Tahoma"/>
            <family val="2"/>
          </rPr>
          <t>Предполагается, что шахта у вас стоит на ТРЕТЬЕЙ клетке от замка.</t>
        </r>
        <r>
          <rPr>
            <sz val="8"/>
            <rFont val="Tahoma"/>
            <family val="2"/>
          </rPr>
          <t xml:space="preserve">
</t>
        </r>
      </text>
    </comment>
    <comment ref="P63" authorId="0">
      <text>
        <r>
          <rPr>
            <b/>
            <sz val="8"/>
            <rFont val="Tahoma"/>
            <family val="2"/>
          </rPr>
          <t>Учитывайте, что в этой и соседних столбцах расчет ведется от количества задействованных в работе крестьян</t>
        </r>
      </text>
    </comment>
    <comment ref="F67" authorId="0">
      <text>
        <r>
          <rPr>
            <b/>
            <sz val="8"/>
            <rFont val="Tahoma"/>
            <family val="2"/>
          </rPr>
          <t>Предполагается, что шахта у вас стоит на ТРЕТЬЕЙ клетке от замка.</t>
        </r>
      </text>
    </comment>
    <comment ref="P78" authorId="0">
      <text>
        <r>
          <rPr>
            <b/>
            <sz val="8"/>
            <rFont val="Tahoma"/>
            <family val="2"/>
          </rPr>
          <t>Учитывайте, что в этой и соседних столбцах расчет ведется от количества задействованных в работе крестьян</t>
        </r>
      </text>
    </comment>
    <comment ref="F82" authorId="0">
      <text>
        <r>
          <rPr>
            <b/>
            <sz val="8"/>
            <rFont val="Tahoma"/>
            <family val="2"/>
          </rPr>
          <t>Предполагается, что шахта у вас стоит на ТРЕТЬЕЙ клетке от замка.</t>
        </r>
      </text>
    </comment>
  </commentList>
</comments>
</file>

<file path=xl/comments2.xml><?xml version="1.0" encoding="utf-8"?>
<comments xmlns="http://schemas.openxmlformats.org/spreadsheetml/2006/main">
  <authors>
    <author>KM</author>
  </authors>
  <commentList>
    <comment ref="S7" authorId="0">
      <text>
        <r>
          <rPr>
            <b/>
            <sz val="8"/>
            <rFont val="Tahoma"/>
            <family val="2"/>
          </rPr>
          <t>СОВЕТ: Если вы не уверены насколько часто встречается тот или иной свиток в игре, лучше не меняйте значения в этих клетках, или посоветуйтесь со старшими товарищами по игре. В любом случае учтите, что эти данные составляют в расчете рекомендованной рыночной цены решающее значение.</t>
        </r>
      </text>
    </comment>
    <comment ref="U7" authorId="0">
      <text>
        <r>
          <rPr>
            <b/>
            <sz val="8"/>
            <rFont val="Tahoma"/>
            <family val="2"/>
          </rPr>
          <t>СОВЕТ: Постарайтесь заполнять эти клетки как можно чаще, примерно раз в неделю - так вы будете получать актуальные рекомендованные цены. Учтите, что во время войны цены на свитки часто скачут и вы можете выгодно сыграть на дефиците, если вовремя его заметите.</t>
        </r>
      </text>
    </comment>
    <comment ref="S9" authorId="0">
      <text>
        <r>
          <rPr>
            <b/>
            <sz val="10"/>
            <rFont val="Tahoma"/>
            <family val="2"/>
          </rPr>
          <t>0</t>
        </r>
        <r>
          <rPr>
            <b/>
            <sz val="8"/>
            <rFont val="Tahoma"/>
            <family val="2"/>
          </rPr>
          <t xml:space="preserve"> </t>
        </r>
        <r>
          <rPr>
            <sz val="8"/>
            <rFont val="Tahoma"/>
            <family val="2"/>
          </rPr>
          <t>- рецепт свитка доступен каждому в игре (например "Портал", который может сделать любой, построивший Башню магов);</t>
        </r>
        <r>
          <rPr>
            <b/>
            <sz val="10"/>
            <rFont val="Tahoma"/>
            <family val="2"/>
          </rPr>
          <t xml:space="preserve"> 
1 </t>
        </r>
        <r>
          <rPr>
            <sz val="8"/>
            <rFont val="Tahoma"/>
            <family val="2"/>
          </rPr>
          <t>- рецепт встречается очень часто и не нужно особых усилий, чтобы добыть его (например "Отмена", которая неограниченно доступна при религии Магии);</t>
        </r>
        <r>
          <rPr>
            <b/>
            <sz val="10"/>
            <rFont val="Tahoma"/>
            <family val="2"/>
          </rPr>
          <t xml:space="preserve"> 
2, 3</t>
        </r>
        <r>
          <rPr>
            <sz val="8"/>
            <rFont val="Tahoma"/>
            <family val="2"/>
          </rPr>
          <t xml:space="preserve"> - рецепт дастаточно распространен, через одного выпадает из орков (при ныне действующем балансе таких заклинаний нет); 
</t>
        </r>
        <r>
          <rPr>
            <b/>
            <sz val="10"/>
            <rFont val="Tahoma"/>
            <family val="2"/>
          </rPr>
          <t>4, 5, 6</t>
        </r>
        <r>
          <rPr>
            <sz val="8"/>
            <rFont val="Tahoma"/>
            <family val="2"/>
          </rPr>
          <t xml:space="preserve"> - рецепт можно найти, приложив достаточные к этому усилия (падают, примерно, из каждого 5-7 убитого орка, бывают на рынке по умеренной цене); 
</t>
        </r>
        <r>
          <rPr>
            <b/>
            <sz val="10"/>
            <rFont val="Tahoma"/>
            <family val="2"/>
          </rPr>
          <t>7, 8</t>
        </r>
        <r>
          <rPr>
            <sz val="8"/>
            <rFont val="Tahoma"/>
            <family val="2"/>
          </rPr>
          <t xml:space="preserve"> - рецепт найти достаточно трудно (постоянная охота на орков, кряков и драконов приносит некоторое колличество таких рецептов); 
</t>
        </r>
        <r>
          <rPr>
            <b/>
            <sz val="10"/>
            <rFont val="Tahoma"/>
            <family val="2"/>
          </rPr>
          <t>9, 10</t>
        </r>
        <r>
          <rPr>
            <sz val="8"/>
            <rFont val="Tahoma"/>
            <family val="2"/>
          </rPr>
          <t xml:space="preserve"> - очень редкие рецепты, как правило, не все игроки их видели у себя в городе.</t>
        </r>
      </text>
    </comment>
    <comment ref="T9" authorId="0">
      <text>
        <r>
          <rPr>
            <b/>
            <sz val="8"/>
            <rFont val="Tahoma"/>
            <family val="2"/>
          </rPr>
          <t xml:space="preserve">Помните, во время большой войны спрос на свитки заклинаний сильно поднимается!
</t>
        </r>
        <r>
          <rPr>
            <sz val="8"/>
            <rFont val="Tahoma"/>
            <family val="2"/>
          </rPr>
          <t xml:space="preserve">
</t>
        </r>
        <r>
          <rPr>
            <b/>
            <sz val="10"/>
            <rFont val="Tahoma"/>
            <family val="2"/>
          </rPr>
          <t>0</t>
        </r>
        <r>
          <rPr>
            <sz val="8"/>
            <rFont val="Tahoma"/>
            <family val="2"/>
          </rPr>
          <t xml:space="preserve"> - заклинание никому не нужно. Купить его на рынке может нуб, который соблазнится на низкую цену.
</t>
        </r>
        <r>
          <rPr>
            <b/>
            <sz val="10"/>
            <rFont val="Tahoma"/>
            <family val="2"/>
          </rPr>
          <t>1, 2</t>
        </r>
        <r>
          <rPr>
            <sz val="8"/>
            <rFont val="Tahoma"/>
            <family val="2"/>
          </rPr>
          <t xml:space="preserve"> - заклинание используется очень редко, соответственно и спрос на покупку низок. Примером такого заклинания служит "Портал", купив 3-4 таких свитка, неиспользовать их можно и за месяц игры.
</t>
        </r>
        <r>
          <rPr>
            <b/>
            <sz val="10"/>
            <rFont val="Tahoma"/>
            <family val="2"/>
          </rPr>
          <t xml:space="preserve">3, 4 </t>
        </r>
        <r>
          <rPr>
            <sz val="8"/>
            <rFont val="Tahoma"/>
            <family val="2"/>
          </rPr>
          <t xml:space="preserve">- заклинание используется иногда и спрос на него небольшой. Примером могут служить "Забывчивость" и "Паутина".
</t>
        </r>
        <r>
          <rPr>
            <b/>
            <sz val="10"/>
            <rFont val="Tahoma"/>
            <family val="2"/>
          </rPr>
          <t>5, 6, 7</t>
        </r>
        <r>
          <rPr>
            <sz val="8"/>
            <rFont val="Tahoma"/>
            <family val="2"/>
          </rPr>
          <t xml:space="preserve"> - ходовое заклинание, используется каждым вторым магом, особенно во время интенсивных боевых действий. Такие заклинания по разумной цене не долго пролежат в лавке. Например, это "Сенсинг" и "Проклятие".
</t>
        </r>
        <r>
          <rPr>
            <b/>
            <sz val="10"/>
            <rFont val="Tahoma"/>
            <family val="2"/>
          </rPr>
          <t xml:space="preserve">8, 9 </t>
        </r>
        <r>
          <rPr>
            <sz val="8"/>
            <rFont val="Tahoma"/>
            <family val="2"/>
          </rPr>
          <t xml:space="preserve">- без этого заклинания не может обойтись ни одна война. Используется всеми игроками, опытными и новичками. На рынке на него устойчивый и постоянный спрос. Такие заклинания, как "Огнестен", "Благословение" и "Терновник".
</t>
        </r>
        <r>
          <rPr>
            <b/>
            <sz val="10"/>
            <rFont val="Tahoma"/>
            <family val="2"/>
          </rPr>
          <t>10</t>
        </r>
        <r>
          <rPr>
            <sz val="8"/>
            <rFont val="Tahoma"/>
            <family val="2"/>
          </rPr>
          <t xml:space="preserve"> - при выставлении кем нибудь такого заклинания на рынок, оно выкупается уже через час-два. Спрос на него огромный, нужно оно всем. Примером служит заклинание "Рассеивание".</t>
        </r>
      </text>
    </comment>
    <comment ref="U9" authorId="0">
      <text>
        <r>
          <rPr>
            <b/>
            <sz val="8"/>
            <rFont val="Tahoma"/>
            <family val="2"/>
          </rPr>
          <t>СОВЕТ: При заполнении данного столбца советуем игнорировать явно завышеные цены, если выставлено малое колличество товара. Как правило, эта цена нерыночного характера.</t>
        </r>
      </text>
    </comment>
    <comment ref="X9" authorId="0">
      <text>
        <r>
          <rPr>
            <b/>
            <sz val="8"/>
            <rFont val="Tahoma"/>
            <family val="2"/>
          </rPr>
          <t>Не торопитесь выставлять свиток по рекомендованной цене. Сделав анализ рынка, выберите такую цену, чтобы вероятность заключения сделки была на уровне "высокая", или "средняя", если хотите продать по большей цене и готовы подождать покупателя.</t>
        </r>
      </text>
    </comment>
    <comment ref="Y9" authorId="0">
      <text>
        <r>
          <rPr>
            <b/>
            <sz val="8"/>
            <rFont val="Tahoma"/>
            <family val="2"/>
          </rPr>
          <t>Введите сюда цену, по которой вы хотите продать свиток</t>
        </r>
      </text>
    </comment>
    <comment ref="Z9" authorId="0">
      <text>
        <r>
          <rPr>
            <b/>
            <sz val="8"/>
            <rFont val="Tahoma"/>
            <family val="2"/>
          </rPr>
          <t xml:space="preserve">СОВЕТ: Чтобы повысить доход от сделки, для изготовления свитка истользуйте только трудочасы строителя.
Примечание: Если в графе "Ваша прибыль" стоит отрицательное значение, значит вы:
</t>
        </r>
        <r>
          <rPr>
            <sz val="8"/>
            <rFont val="Tahoma"/>
            <family val="2"/>
          </rPr>
          <t>1. Неправильно заполнили столбец "Ваша цена", указав там значение ниже себестоимости;
2.  Указали сильно завышенную цену базовых ресурсов;
3. При изготовлении заклинания использовали домовых, что очень сильно подняло себестоимость заклинания.</t>
        </r>
      </text>
    </comment>
    <comment ref="J12" authorId="0">
      <text>
        <r>
          <rPr>
            <b/>
            <sz val="8"/>
            <rFont val="Tahoma"/>
            <family val="2"/>
          </rPr>
          <t>СОВЕТ: Так как стоимость домовых очень высока, мы не рукомендуем их использовать для изготовления свитков. При использовании домовых цена будет неконкурентоспособной.</t>
        </r>
      </text>
    </comment>
    <comment ref="K12" authorId="0">
      <text>
        <r>
          <rPr>
            <b/>
            <sz val="8"/>
            <rFont val="Tahoma"/>
            <family val="2"/>
          </rPr>
          <t xml:space="preserve">СОВЕТ: Для понижения себестоимости свитка используйте строителя.
В этой версии стоимость трудочасов строителя не учитывается. Но так как она состовляет всего несколько золотых, этим значением можно принебреч. </t>
        </r>
        <r>
          <rPr>
            <sz val="8"/>
            <rFont val="Tahoma"/>
            <family val="2"/>
          </rPr>
          <t>(включить в расчет стоимость строительства строителя планируется в следующей версии программы)</t>
        </r>
      </text>
    </comment>
    <comment ref="L12" authorId="0">
      <text>
        <r>
          <rPr>
            <b/>
            <sz val="8"/>
            <rFont val="Tahoma"/>
            <family val="2"/>
          </rPr>
          <t>Если значение тут равно нулю, значит свиток будет изготовлен после вложения домовых и(или) ап строителя. Иначе считается, что продолжать изготовление будут крестьяне.</t>
        </r>
      </text>
    </comment>
    <comment ref="O13" authorId="0">
      <text>
        <r>
          <rPr>
            <sz val="8"/>
            <rFont val="Tahoma"/>
            <family val="2"/>
          </rPr>
          <t>На себестоимость изготовления свитка в городе влияет главным образом уровень фабрики этого города при условии изготовления свитка крестьянами. То есть в этом случае к стоимости ресурсов прибавляется столько золотых, сколько крестьяне могли бы принести городу, будь они свободными от изготовления. И чем выше уровень фабрики в городе, тем дороже изготовление свитка крестьянами этого города.</t>
        </r>
      </text>
    </comment>
    <comment ref="P14" authorId="0">
      <text>
        <r>
          <rPr>
            <b/>
            <sz val="8"/>
            <color indexed="10"/>
            <rFont val="Tahoma"/>
            <family val="2"/>
          </rPr>
          <t>ВНИМАНИЕ! Полная формула высчитывает значение только для города №1. Все остальные города используют упрощенную формулу и приведены чисто для сравнения. При условии неверного указывания количества вложенных домовых значения в клетках городов №2, 3, 4, 5 и 6 НЕВЕРНЫ.</t>
        </r>
      </text>
    </comment>
    <comment ref="O52" authorId="0">
      <text>
        <r>
          <rPr>
            <b/>
            <sz val="8"/>
            <rFont val="Tahoma"/>
            <family val="2"/>
          </rPr>
          <t>Обратите внимание на то, что такова себестоимость абсолютно любого изготовленного вами артефакта, будь то 1ур или 4ур.</t>
        </r>
      </text>
    </comment>
    <comment ref="S52" authorId="0">
      <text>
        <r>
          <rPr>
            <b/>
            <sz val="8"/>
            <rFont val="Tahoma"/>
            <family val="2"/>
          </rPr>
          <t>В данном расчете цена формируется просто умножением себестоимости на некий  коэффициент-модификатор. 
Для 1ур он равен 0,3 
для 2ур - 0,6 
для 3ур - 2
для 4ур - 5</t>
        </r>
      </text>
    </comment>
  </commentList>
</comments>
</file>

<file path=xl/comments3.xml><?xml version="1.0" encoding="utf-8"?>
<comments xmlns="http://schemas.openxmlformats.org/spreadsheetml/2006/main">
  <authors>
    <author>KM</author>
    <author>FuckYouBill</author>
  </authors>
  <commentList>
    <comment ref="E17" authorId="0">
      <text>
        <r>
          <rPr>
            <b/>
            <sz val="8"/>
            <rFont val="Tahoma"/>
            <family val="2"/>
          </rPr>
          <t>Религия диверсии предоставляет героям -1 видимости.</t>
        </r>
      </text>
    </comment>
    <comment ref="F17" authorId="0">
      <text>
        <r>
          <rPr>
            <b/>
            <sz val="8"/>
            <rFont val="Tahoma"/>
            <family val="2"/>
          </rPr>
          <t xml:space="preserve">Таблица видимости от уровня шпионажа
________ 1лвл 2лвл 3лвл 4лвл
1когорта __1 __ 1 __ 1 __ 1
2когорты _ 4 __ 3 __ 2 __ 1
3когорты _ 7 __ 6 __ 5 __ 4
4когорты _ 7 __ 6 __ 5 __ 4
5когорт___ 7 __ 6 __ 5 __ 4
6когорт___ 7 __ 6 __ 5 __ 4
7когорт___ 7 __ 6 __ 5 __ 4
8когорт___ 7 __ 6 __ 5 __ 4 
</t>
        </r>
      </text>
    </comment>
    <comment ref="G17" authorId="0">
      <text>
        <r>
          <rPr>
            <b/>
            <sz val="8"/>
            <rFont val="Tahoma"/>
            <family val="2"/>
          </rPr>
          <t>Видимость снижается в зависимости от уровня шапки (1ур -1, 2ур -2, 3ур -3, 4ур -4)</t>
        </r>
      </text>
    </comment>
    <comment ref="H17" authorId="0">
      <text>
        <r>
          <rPr>
            <b/>
            <sz val="8"/>
            <rFont val="Tahoma"/>
            <family val="2"/>
          </rPr>
          <t>Заклинание "Маскировка" снижает видимость на 2.</t>
        </r>
      </text>
    </comment>
    <comment ref="A1" authorId="1">
      <text>
        <r>
          <rPr>
            <b/>
            <sz val="8"/>
            <rFont val="Tahoma"/>
            <family val="2"/>
          </rPr>
          <t>В связи с нефиксированной стартовой кармой данный расчет стал очень приблизительным.</t>
        </r>
      </text>
    </comment>
  </commentList>
</comments>
</file>

<file path=xl/comments4.xml><?xml version="1.0" encoding="utf-8"?>
<comments xmlns="http://schemas.openxmlformats.org/spreadsheetml/2006/main">
  <authors>
    <author>KM</author>
  </authors>
  <commentList>
    <comment ref="G2" authorId="0">
      <text>
        <r>
          <rPr>
            <b/>
            <sz val="8"/>
            <rFont val="Tahoma"/>
            <family val="2"/>
          </rPr>
          <t>Это модификаторы, которые дают умения героя (распределенные очки). Они могут быть только положительными (кроме "видимости").</t>
        </r>
        <r>
          <rPr>
            <sz val="8"/>
            <rFont val="Tahoma"/>
            <family val="2"/>
          </rPr>
          <t xml:space="preserve">
</t>
        </r>
      </text>
    </comment>
    <comment ref="H2" authorId="0">
      <text>
        <r>
          <rPr>
            <b/>
            <sz val="8"/>
            <rFont val="Tahoma"/>
            <family val="2"/>
          </rPr>
          <t>Это модификаторы, которые дает религия аккаунта. Они могут быть как положительными, так и отрицательными.</t>
        </r>
        <r>
          <rPr>
            <sz val="8"/>
            <rFont val="Tahoma"/>
            <family val="2"/>
          </rPr>
          <t xml:space="preserve">
</t>
        </r>
      </text>
    </comment>
    <comment ref="I2" authorId="0">
      <text>
        <r>
          <rPr>
            <b/>
            <sz val="8"/>
            <rFont val="Tahoma"/>
            <family val="2"/>
          </rPr>
          <t>Это модификаторы, которые дают надетые на героя артефакты. Они могут быть только положительными.</t>
        </r>
        <r>
          <rPr>
            <sz val="8"/>
            <rFont val="Tahoma"/>
            <family val="2"/>
          </rPr>
          <t xml:space="preserve">
</t>
        </r>
      </text>
    </comment>
    <comment ref="L2" authorId="0">
      <text>
        <r>
          <rPr>
            <b/>
            <sz val="8"/>
            <rFont val="Tahoma"/>
            <family val="2"/>
          </rPr>
          <t xml:space="preserve">Для сравнения:
</t>
        </r>
        <r>
          <rPr>
            <sz val="8"/>
            <rFont val="Tahoma"/>
            <family val="2"/>
          </rPr>
          <t>Герой с 4 логистикой, 8 когортами разведчиков, религией стремительности, с сапогами 4ур =</t>
        </r>
        <r>
          <rPr>
            <b/>
            <sz val="8"/>
            <rFont val="Tahoma"/>
            <family val="2"/>
          </rPr>
          <t xml:space="preserve"> 27,1 АП
</t>
        </r>
        <r>
          <rPr>
            <sz val="8"/>
            <rFont val="Tahoma"/>
            <family val="2"/>
          </rPr>
          <t xml:space="preserve">Герой с 4 логистикой, 8 когортами разведчиков,без религии, с сапогами 4ур = </t>
        </r>
        <r>
          <rPr>
            <b/>
            <sz val="8"/>
            <rFont val="Tahoma"/>
            <family val="2"/>
          </rPr>
          <t xml:space="preserve">23,5 АП
</t>
        </r>
        <r>
          <rPr>
            <sz val="8"/>
            <rFont val="Tahoma"/>
            <family val="2"/>
          </rPr>
          <t>Герой с 4 логистикой, 8 когортами рыцарей, религией стремительности, с сапогами 4ур =</t>
        </r>
        <r>
          <rPr>
            <b/>
            <sz val="8"/>
            <rFont val="Tahoma"/>
            <family val="2"/>
          </rPr>
          <t xml:space="preserve"> 20,3 АП
</t>
        </r>
        <r>
          <rPr>
            <sz val="8"/>
            <rFont val="Tahoma"/>
            <family val="2"/>
          </rPr>
          <t>Герой с 4 логистикой, 8 когортами рыцарей,без религии, с сапогами 4ур =</t>
        </r>
        <r>
          <rPr>
            <b/>
            <sz val="8"/>
            <rFont val="Tahoma"/>
            <family val="2"/>
          </rPr>
          <t xml:space="preserve"> 17,6 АП
</t>
        </r>
        <r>
          <rPr>
            <sz val="8"/>
            <rFont val="Tahoma"/>
            <family val="2"/>
          </rPr>
          <t>Герой с 4 логистикой, 1 когортой пикинеров,религией стремительности, с сапогами-скороходами =</t>
        </r>
        <r>
          <rPr>
            <b/>
            <sz val="8"/>
            <rFont val="Tahoma"/>
            <family val="2"/>
          </rPr>
          <t xml:space="preserve"> 16,7 АП
</t>
        </r>
        <r>
          <rPr>
            <sz val="8"/>
            <rFont val="Tahoma"/>
            <family val="2"/>
          </rPr>
          <t xml:space="preserve">Герой с 4 логистикой, 8 когортами мечников, религией стремительности, с сапогами 4ур = </t>
        </r>
        <r>
          <rPr>
            <b/>
            <sz val="8"/>
            <rFont val="Tahoma"/>
            <family val="2"/>
          </rPr>
          <t>15</t>
        </r>
        <r>
          <rPr>
            <b/>
            <sz val="8"/>
            <rFont val="Tahoma"/>
            <family val="2"/>
          </rPr>
          <t xml:space="preserve">,8 АП
</t>
        </r>
        <r>
          <rPr>
            <sz val="8"/>
            <rFont val="Tahoma"/>
            <family val="2"/>
          </rPr>
          <t>Герой без логистики, 8 когортами мечников, религией стремительности, с сапогами 4ур =</t>
        </r>
        <r>
          <rPr>
            <b/>
            <sz val="8"/>
            <rFont val="Tahoma"/>
            <family val="2"/>
          </rPr>
          <t xml:space="preserve"> 12,5 АП
</t>
        </r>
        <r>
          <rPr>
            <sz val="8"/>
            <rFont val="Tahoma"/>
            <family val="2"/>
          </rPr>
          <t>Герой без логистики, 8 когортами мечников, религией стремительности, без сапог =</t>
        </r>
        <r>
          <rPr>
            <b/>
            <sz val="8"/>
            <rFont val="Tahoma"/>
            <family val="2"/>
          </rPr>
          <t xml:space="preserve"> 9,1 АП
</t>
        </r>
        <r>
          <rPr>
            <sz val="8"/>
            <rFont val="Tahoma"/>
            <family val="2"/>
          </rPr>
          <t>Герой без логистики, 8 когортами мечников, без религии, без сапог =</t>
        </r>
        <r>
          <rPr>
            <b/>
            <sz val="8"/>
            <rFont val="Tahoma"/>
            <family val="2"/>
          </rPr>
          <t xml:space="preserve"> 7 АП
</t>
        </r>
        <r>
          <rPr>
            <sz val="8"/>
            <rFont val="Tahoma"/>
            <family val="2"/>
          </rPr>
          <t>Герой без логистики, 8 когортами мечников, с религией силы, без сапог =</t>
        </r>
        <r>
          <rPr>
            <b/>
            <sz val="8"/>
            <rFont val="Tahoma"/>
            <family val="2"/>
          </rPr>
          <t xml:space="preserve"> 4,9 АП
</t>
        </r>
        <r>
          <rPr>
            <sz val="8"/>
            <rFont val="Tahoma"/>
            <family val="2"/>
          </rPr>
          <t>Герой без логистики, 8 когортами кнехтов, с религией силы, без сапог =</t>
        </r>
        <r>
          <rPr>
            <b/>
            <sz val="8"/>
            <rFont val="Tahoma"/>
            <family val="2"/>
          </rPr>
          <t xml:space="preserve"> 3,5 АП</t>
        </r>
      </text>
    </comment>
    <comment ref="D4" authorId="0">
      <text>
        <r>
          <rPr>
            <b/>
            <sz val="8"/>
            <rFont val="Tahoma"/>
            <family val="2"/>
          </rPr>
          <t>Если вы введете количество едениц форса, превышающее максимальную вместимость героя при заданном параметре лидерства и религии - справа от данного поля появится слово "Ошибка!"</t>
        </r>
      </text>
    </comment>
    <comment ref="G8" authorId="0">
      <text>
        <r>
          <rPr>
            <sz val="8"/>
            <rFont val="Tahoma"/>
            <family val="2"/>
          </rPr>
          <t>ХорС:</t>
        </r>
        <r>
          <rPr>
            <b/>
            <sz val="8"/>
            <rFont val="Tahoma"/>
            <family val="2"/>
          </rPr>
          <t xml:space="preserve"> наскоко я знаю навык дает +1 к атаке. 
</t>
        </r>
        <r>
          <rPr>
            <sz val="8"/>
            <rFont val="Tahoma"/>
            <family val="2"/>
          </rPr>
          <t xml:space="preserve">
</t>
        </r>
      </text>
    </comment>
    <comment ref="I8" authorId="0">
      <text>
        <r>
          <rPr>
            <sz val="8"/>
            <rFont val="Tahoma"/>
            <family val="2"/>
          </rPr>
          <t>ХорС:</t>
        </r>
        <r>
          <rPr>
            <b/>
            <sz val="8"/>
            <rFont val="Tahoma"/>
            <family val="2"/>
          </rPr>
          <t xml:space="preserve"> наскоко я знаю посох дает +12% от базовой атаки мага. </t>
        </r>
        <r>
          <rPr>
            <sz val="8"/>
            <rFont val="Tahoma"/>
            <family val="2"/>
          </rPr>
          <t xml:space="preserve">
</t>
        </r>
      </text>
    </comment>
    <comment ref="R10" authorId="0">
      <text>
        <r>
          <rPr>
            <b/>
            <sz val="8"/>
            <rFont val="Tahoma"/>
            <family val="2"/>
          </rPr>
          <t>Чем точнее вы введете защиту врага, тем точнее будет расчет</t>
        </r>
      </text>
    </comment>
    <comment ref="K16" authorId="0">
      <text>
        <r>
          <rPr>
            <b/>
            <sz val="8"/>
            <rFont val="Tahoma"/>
            <family val="2"/>
          </rPr>
          <t>Не забудьте ввести приблизительную защиту вражеского героя</t>
        </r>
      </text>
    </comment>
    <comment ref="B17" authorId="0">
      <text>
        <r>
          <rPr>
            <sz val="8"/>
            <rFont val="Tahoma"/>
            <family val="2"/>
          </rPr>
          <t>ХорС:</t>
        </r>
        <r>
          <rPr>
            <b/>
            <sz val="8"/>
            <rFont val="Tahoma"/>
            <family val="2"/>
          </rPr>
          <t xml:space="preserve"> Каждый герой должен лучше всего выполнять предназначение для которого он стоит на поле боя. Если это лучник, то отстрел противника, мечник - вырезание противника, танк - сдерживание. Лидерство дает увеличение атаки и крепкости героя. Профелирующее умение такое как стрельба для лучника или арбалетчика, ближняя атака для мечника или рыцаря, выносливость для кнехта или рыцаря, магия для мага - дает усиление профильных параметров войска. Логистика дает большее количество ходов для атаки или передвижения героя.</t>
        </r>
        <r>
          <rPr>
            <sz val="8"/>
            <rFont val="Tahoma"/>
            <family val="2"/>
          </rPr>
          <t xml:space="preserve">
</t>
        </r>
      </text>
    </comment>
    <comment ref="D17" authorId="0">
      <text>
        <r>
          <rPr>
            <b/>
            <sz val="8"/>
            <rFont val="Tahoma"/>
            <family val="2"/>
          </rPr>
          <t>При превышении в сумме 10 статов параметров героя в этом поле загорится сообщение об ошибке.</t>
        </r>
        <r>
          <rPr>
            <sz val="8"/>
            <rFont val="Tahoma"/>
            <family val="2"/>
          </rPr>
          <t xml:space="preserve">
</t>
        </r>
      </text>
    </comment>
    <comment ref="B18" authorId="0">
      <text>
        <r>
          <rPr>
            <b/>
            <sz val="8"/>
            <rFont val="Tahoma"/>
            <family val="2"/>
          </rPr>
          <t xml:space="preserve">Ближний бой:
Усиливает ближнюю атаку юнита. Каждая новая ступень повышает атаку на 12% от базовой.
Примечание. Зависимость параметров атака-защита юнита и наносимого урона нелинейная. Это значит, что увеличение на 12% атаки приведет к увеличению наносимого урона более, чем на 12%. 
</t>
        </r>
        <r>
          <rPr>
            <sz val="8"/>
            <rFont val="Tahoma"/>
            <family val="2"/>
          </rPr>
          <t xml:space="preserve">
</t>
        </r>
      </text>
    </comment>
    <comment ref="B19" authorId="0">
      <text>
        <r>
          <rPr>
            <b/>
            <sz val="8"/>
            <rFont val="Tahoma"/>
            <family val="2"/>
          </rPr>
          <t xml:space="preserve">Стрельба
Усиливает дальнюю атаку на 12% за каждую ступень. </t>
        </r>
        <r>
          <rPr>
            <sz val="8"/>
            <rFont val="Tahoma"/>
            <family val="2"/>
          </rPr>
          <t xml:space="preserve">
</t>
        </r>
      </text>
    </comment>
    <comment ref="B20" authorId="0">
      <text>
        <r>
          <rPr>
            <b/>
            <sz val="8"/>
            <rFont val="Tahoma"/>
            <family val="2"/>
          </rPr>
          <t>Выносливость
Увеличивает защиту и HP на 12% и 5% соответственно за каждую ступень. Не влияет на магическую защиту.</t>
        </r>
        <r>
          <rPr>
            <sz val="8"/>
            <rFont val="Tahoma"/>
            <family val="2"/>
          </rPr>
          <t xml:space="preserve">
</t>
        </r>
      </text>
    </comment>
    <comment ref="B21" authorId="0">
      <text>
        <r>
          <rPr>
            <b/>
            <sz val="8"/>
            <rFont val="Tahoma"/>
            <family val="2"/>
          </rPr>
          <t xml:space="preserve">Логистика
Повышает AP юнита на 12% за каждую ступень. </t>
        </r>
        <r>
          <rPr>
            <sz val="8"/>
            <rFont val="Tahoma"/>
            <family val="2"/>
          </rPr>
          <t xml:space="preserve">
</t>
        </r>
      </text>
    </comment>
    <comment ref="B22" authorId="0">
      <text>
        <r>
          <rPr>
            <b/>
            <sz val="8"/>
            <rFont val="Tahoma"/>
            <family val="2"/>
          </rPr>
          <t xml:space="preserve">Лидерство
Увеличивает максимальное количество солдат, которые могут входить в отряд героя. С "нулевым" лидерством герой может управлять не более чем 4 когортами войск. Каждая новая ступень увеличивает предел на 1 когорту. Количество солдат, составляющих когорту, для каждого вида войск свое. </t>
        </r>
        <r>
          <rPr>
            <sz val="8"/>
            <rFont val="Tahoma"/>
            <family val="2"/>
          </rPr>
          <t xml:space="preserve">
</t>
        </r>
      </text>
    </comment>
    <comment ref="B23" authorId="0">
      <text>
        <r>
          <rPr>
            <b/>
            <sz val="8"/>
            <rFont val="Tahoma"/>
            <family val="2"/>
          </rPr>
          <t xml:space="preserve">Светлая магия
Позволяет использовать магические заклинания светлой магии соответствующего уровня. </t>
        </r>
        <r>
          <rPr>
            <sz val="8"/>
            <rFont val="Tahoma"/>
            <family val="2"/>
          </rPr>
          <t xml:space="preserve">
</t>
        </r>
      </text>
    </comment>
    <comment ref="B24" authorId="0">
      <text>
        <r>
          <rPr>
            <b/>
            <sz val="8"/>
            <rFont val="Tahoma"/>
            <family val="2"/>
          </rPr>
          <t xml:space="preserve">Темная магия
Позволяет использовать магические заклинания темной магии соответствующего уровня. </t>
        </r>
        <r>
          <rPr>
            <sz val="8"/>
            <rFont val="Tahoma"/>
            <family val="2"/>
          </rPr>
          <t xml:space="preserve">
</t>
        </r>
      </text>
    </comment>
    <comment ref="K26" authorId="0">
      <text>
        <r>
          <rPr>
            <b/>
            <sz val="8"/>
            <rFont val="Tahoma"/>
            <family val="2"/>
          </rPr>
          <t>Не забудьте ввести приблизительную защиту вражеского героя</t>
        </r>
      </text>
    </comment>
    <comment ref="B25" authorId="0">
      <text>
        <r>
          <rPr>
            <b/>
            <sz val="8"/>
            <rFont val="Tahoma"/>
            <family val="2"/>
          </rPr>
          <t>Шпионаж
Уменьшает видимость юнита и позволяет проникать во вражеские города в разведывательных целях. Герой-шпион может узнавать точное количество войск во вражеском войске и заклинания, висящие на других героях (шпион 4 уровня делает это через 4 клетки, 1го - через 1).</t>
        </r>
        <r>
          <rPr>
            <sz val="8"/>
            <rFont val="Tahoma"/>
            <family val="2"/>
          </rPr>
          <t xml:space="preserve">
</t>
        </r>
      </text>
    </comment>
  </commentList>
</comments>
</file>

<file path=xl/comments5.xml><?xml version="1.0" encoding="utf-8"?>
<comments xmlns="http://schemas.openxmlformats.org/spreadsheetml/2006/main">
  <authors>
    <author>KM</author>
  </authors>
  <commentList>
    <comment ref="J37" authorId="0">
      <text>
        <r>
          <rPr>
            <sz val="8"/>
            <rFont val="Tahoma"/>
            <family val="2"/>
          </rPr>
          <t>После косой черты указано количество АП при религии стремительности.</t>
        </r>
      </text>
    </comment>
    <comment ref="I43" authorId="0">
      <text>
        <r>
          <rPr>
            <b/>
            <sz val="8"/>
            <rFont val="Tahoma"/>
            <family val="2"/>
          </rPr>
          <t>примерно - 5000 + 500 х лвл</t>
        </r>
        <r>
          <rPr>
            <sz val="8"/>
            <rFont val="Tahoma"/>
            <family val="2"/>
          </rPr>
          <t xml:space="preserve">
</t>
        </r>
      </text>
    </comment>
    <comment ref="U45" authorId="0">
      <text>
        <r>
          <rPr>
            <sz val="8"/>
            <rFont val="Tahoma"/>
            <family val="2"/>
          </rPr>
          <t xml:space="preserve"> XopC (20:39:28 5/02/2009)
максимальный деман:
Ходы:     11.5
HP:     350
Атака:     97
Защита:     35 д:33
Маг.защита:     10</t>
        </r>
      </text>
    </comment>
  </commentList>
</comments>
</file>

<file path=xl/sharedStrings.xml><?xml version="1.0" encoding="utf-8"?>
<sst xmlns="http://schemas.openxmlformats.org/spreadsheetml/2006/main" count="1143" uniqueCount="501">
  <si>
    <t xml:space="preserve">Совокупная мощность экономики </t>
  </si>
  <si>
    <t>Город1</t>
  </si>
  <si>
    <t>хиты стены</t>
  </si>
  <si>
    <t>Добыча золота за сутки</t>
  </si>
  <si>
    <t>золотых</t>
  </si>
  <si>
    <t>Здания</t>
  </si>
  <si>
    <t>уровень</t>
  </si>
  <si>
    <t>Добыча (минут)</t>
  </si>
  <si>
    <t>Доставка (минут)</t>
  </si>
  <si>
    <t xml:space="preserve">Прирост единицы ресурса </t>
  </si>
  <si>
    <t>Задействовано крестьян</t>
  </si>
  <si>
    <t>За сутки всеми крестьянами</t>
  </si>
  <si>
    <t>Себестоимость</t>
  </si>
  <si>
    <t>Добыча дерева за сутки</t>
  </si>
  <si>
    <t>дерева</t>
  </si>
  <si>
    <t>стена</t>
  </si>
  <si>
    <t>Золото</t>
  </si>
  <si>
    <t>минут(ы)</t>
  </si>
  <si>
    <t>Добыча камня за сутки</t>
  </si>
  <si>
    <t>камня</t>
  </si>
  <si>
    <t>фабрика</t>
  </si>
  <si>
    <t>Дерево</t>
  </si>
  <si>
    <t>Добыча металла за сутки</t>
  </si>
  <si>
    <t>металла</t>
  </si>
  <si>
    <t>дороги</t>
  </si>
  <si>
    <t>Камень</t>
  </si>
  <si>
    <t>Всего крестьян</t>
  </si>
  <si>
    <t>крестьян</t>
  </si>
  <si>
    <t>кузня</t>
  </si>
  <si>
    <t>Металл</t>
  </si>
  <si>
    <t>Прирост войск в сутки</t>
  </si>
  <si>
    <t>религия</t>
  </si>
  <si>
    <t>атеист</t>
  </si>
  <si>
    <t>обсерватория</t>
  </si>
  <si>
    <t>Гарнизон</t>
  </si>
  <si>
    <t>Время призыва для неатеиста</t>
  </si>
  <si>
    <t>Прирост в сутки (шт) для неатеиста</t>
  </si>
  <si>
    <t>Время призыва для атеиста</t>
  </si>
  <si>
    <t>Доставка караваном в этот город всего, кроме войск</t>
  </si>
  <si>
    <t>Полигон</t>
  </si>
  <si>
    <t>минут</t>
  </si>
  <si>
    <t>часов</t>
  </si>
  <si>
    <t>Количество клеток до отправителя</t>
  </si>
  <si>
    <t>Время доставки</t>
  </si>
  <si>
    <t>Орден щита</t>
  </si>
  <si>
    <t>гарнизон</t>
  </si>
  <si>
    <t>Арена</t>
  </si>
  <si>
    <t>полигон</t>
  </si>
  <si>
    <t>Башня магов</t>
  </si>
  <si>
    <t>орден щита</t>
  </si>
  <si>
    <t>Доставка караваном войск</t>
  </si>
  <si>
    <t>арена</t>
  </si>
  <si>
    <t>Базовая скорость войск (ап)</t>
  </si>
  <si>
    <t xml:space="preserve">Посетите сайт </t>
  </si>
  <si>
    <t>башня магов</t>
  </si>
  <si>
    <t>http://tim-twiser.clan.su</t>
  </si>
  <si>
    <t>Город2</t>
  </si>
  <si>
    <t>Программа бесплатна и предназначена для использования как дополнение к игре Warchaos. Использовать программу для причинения какого либо ущерба игрокам, животным, насекомым, пресмыкающимся и другим формам жизни строго запрещается. При изменении (и)или копировании программы полностью или частично, просьба указывать ссылку на автора.</t>
  </si>
  <si>
    <r>
      <t xml:space="preserve">Над программой работали: </t>
    </r>
    <r>
      <rPr>
        <b/>
        <sz val="10"/>
        <color indexed="56"/>
        <rFont val="Arial"/>
        <family val="2"/>
      </rPr>
      <t>TiM_Twiser</t>
    </r>
    <r>
      <rPr>
        <b/>
        <sz val="10"/>
        <rFont val="Arial"/>
        <family val="2"/>
      </rPr>
      <t xml:space="preserve">. Неоценимую помощь оказали: </t>
    </r>
    <r>
      <rPr>
        <b/>
        <sz val="10"/>
        <color indexed="56"/>
        <rFont val="Arial"/>
        <family val="2"/>
      </rPr>
      <t>ХорС</t>
    </r>
    <r>
      <rPr>
        <b/>
        <sz val="10"/>
        <rFont val="Arial"/>
        <family val="2"/>
      </rPr>
      <t xml:space="preserve">, </t>
    </r>
    <r>
      <rPr>
        <b/>
        <sz val="10"/>
        <color indexed="56"/>
        <rFont val="Arial"/>
        <family val="2"/>
      </rPr>
      <t>Talisman</t>
    </r>
    <r>
      <rPr>
        <b/>
        <sz val="10"/>
        <rFont val="Arial"/>
        <family val="2"/>
      </rPr>
      <t xml:space="preserve">. Материальную поддержку оказал </t>
    </r>
    <r>
      <rPr>
        <b/>
        <sz val="10"/>
        <color indexed="56"/>
        <rFont val="Arial"/>
        <family val="2"/>
      </rPr>
      <t>кузя</t>
    </r>
    <r>
      <rPr>
        <b/>
        <sz val="10"/>
        <rFont val="Arial"/>
        <family val="2"/>
      </rPr>
      <t xml:space="preserve">. Моральную поддержку оказали: </t>
    </r>
    <r>
      <rPr>
        <b/>
        <sz val="10"/>
        <color indexed="56"/>
        <rFont val="Arial"/>
        <family val="2"/>
      </rPr>
      <t>Domenica</t>
    </r>
    <r>
      <rPr>
        <b/>
        <sz val="10"/>
        <rFont val="Arial"/>
        <family val="2"/>
      </rPr>
      <t xml:space="preserve">, </t>
    </r>
    <r>
      <rPr>
        <b/>
        <sz val="10"/>
        <color indexed="56"/>
        <rFont val="Arial"/>
        <family val="2"/>
      </rPr>
      <t>Vincento</t>
    </r>
    <r>
      <rPr>
        <b/>
        <sz val="10"/>
        <rFont val="Arial"/>
        <family val="2"/>
      </rPr>
      <t xml:space="preserve">, </t>
    </r>
    <r>
      <rPr>
        <b/>
        <sz val="10"/>
        <color indexed="56"/>
        <rFont val="Arial"/>
        <family val="2"/>
      </rPr>
      <t>кузя</t>
    </r>
    <r>
      <rPr>
        <b/>
        <sz val="10"/>
        <rFont val="Arial"/>
        <family val="2"/>
      </rPr>
      <t xml:space="preserve"> и все остальные игроки, оставившие свои отзывы о предыдущих версиях программы на форуме и сайте.</t>
    </r>
  </si>
  <si>
    <t>Город3</t>
  </si>
  <si>
    <t>Свои пожелания, жалобы, благодарности, угрозы и подарки по поводу использования данной программы можете присылать мне на мыло tim_twiser@mail.ru или в игре в личку TiM_Twiser</t>
  </si>
  <si>
    <t>Также выражаю сим искреннюю любовь своей жене,  с нечеловеческим терпением наблюдающей за моей игрой в Warchaos вместо исполнения своих мужских обязанностей. Я тебя люблю, СнеЖинка.</t>
  </si>
  <si>
    <t>Город4</t>
  </si>
  <si>
    <t>Город5</t>
  </si>
  <si>
    <t>Город6</t>
  </si>
  <si>
    <t>Введите цены, используемые в расчете</t>
  </si>
  <si>
    <t>золота</t>
  </si>
  <si>
    <t>Мандрагора</t>
  </si>
  <si>
    <t>Прирост золота по городам в час (справка)</t>
  </si>
  <si>
    <t>Кровь орка</t>
  </si>
  <si>
    <t>город1</t>
  </si>
  <si>
    <t>город2</t>
  </si>
  <si>
    <t>город3</t>
  </si>
  <si>
    <t>Древняя пыль</t>
  </si>
  <si>
    <t>Модификаторы рыночной стоимости</t>
  </si>
  <si>
    <t>Анализ рынка свитков</t>
  </si>
  <si>
    <t xml:space="preserve">Формирование приблизительной рыночной цены на изготовленный свиток </t>
  </si>
  <si>
    <t>Щупальца</t>
  </si>
  <si>
    <t>… или введите свое значение</t>
  </si>
  <si>
    <t>Папоротник</t>
  </si>
  <si>
    <t>Редкость рецепта (0 - доступен всем, 10 - невозможно найти)</t>
  </si>
  <si>
    <t>Спрос на готовое заклинание (0 - нет спроса, 10 - постоянный спрос)</t>
  </si>
  <si>
    <t>Среднерыночная цена конкурентов (за один свиток)</t>
  </si>
  <si>
    <t>Примерное количество свитков на рынке (штук)</t>
  </si>
  <si>
    <t>Рекоммендованная цена продажи</t>
  </si>
  <si>
    <t>Ваша цена</t>
  </si>
  <si>
    <t>Ваша прибыль</t>
  </si>
  <si>
    <t>Вероятность продажи по вашей цене в ближайшее время</t>
  </si>
  <si>
    <t>Шкура дракона</t>
  </si>
  <si>
    <t>Расчетные данные:</t>
  </si>
  <si>
    <t>Домовые</t>
  </si>
  <si>
    <t>Свитки</t>
  </si>
  <si>
    <t>Стоимость изготовления</t>
  </si>
  <si>
    <t>Создается за раз (шт.)</t>
  </si>
  <si>
    <t>Стоимость ресурсов за 1 шт.</t>
  </si>
  <si>
    <t>Время создания (час)</t>
  </si>
  <si>
    <t xml:space="preserve">Вложено домовых </t>
  </si>
  <si>
    <t>Вложено ап строителя</t>
  </si>
  <si>
    <t>Осталось часов</t>
  </si>
  <si>
    <t>Стоимость ресурсов + стоимость АП строителя.</t>
  </si>
  <si>
    <t>100%ная</t>
  </si>
  <si>
    <t>высокая</t>
  </si>
  <si>
    <t>средняя</t>
  </si>
  <si>
    <t>низкая</t>
  </si>
  <si>
    <t>нулевая</t>
  </si>
  <si>
    <t>мандра</t>
  </si>
  <si>
    <t>СЕБЕСТОИМОСТЬ ОДНОГО СВИТКА</t>
  </si>
  <si>
    <t>Огненная стена</t>
  </si>
  <si>
    <t xml:space="preserve">Благословение </t>
  </si>
  <si>
    <t>Терновник</t>
  </si>
  <si>
    <r>
      <t xml:space="preserve">Над программой работали: </t>
    </r>
    <r>
      <rPr>
        <b/>
        <sz val="8"/>
        <color indexed="56"/>
        <rFont val="Arial"/>
        <family val="2"/>
      </rPr>
      <t>TiM_Twiser</t>
    </r>
    <r>
      <rPr>
        <b/>
        <sz val="8"/>
        <rFont val="Arial"/>
        <family val="2"/>
      </rPr>
      <t xml:space="preserve">. Неоценимую помощь оказали: </t>
    </r>
    <r>
      <rPr>
        <b/>
        <sz val="8"/>
        <color indexed="56"/>
        <rFont val="Arial"/>
        <family val="2"/>
      </rPr>
      <t>ХорС</t>
    </r>
    <r>
      <rPr>
        <b/>
        <sz val="8"/>
        <rFont val="Arial"/>
        <family val="2"/>
      </rPr>
      <t xml:space="preserve">, </t>
    </r>
    <r>
      <rPr>
        <b/>
        <sz val="8"/>
        <color indexed="56"/>
        <rFont val="Arial"/>
        <family val="2"/>
      </rPr>
      <t>Talisman</t>
    </r>
    <r>
      <rPr>
        <b/>
        <sz val="8"/>
        <rFont val="Arial"/>
        <family val="2"/>
      </rPr>
      <t xml:space="preserve">. Материальную поддержку оказал </t>
    </r>
    <r>
      <rPr>
        <b/>
        <sz val="8"/>
        <color indexed="56"/>
        <rFont val="Arial"/>
        <family val="2"/>
      </rPr>
      <t>кузя</t>
    </r>
    <r>
      <rPr>
        <b/>
        <sz val="8"/>
        <rFont val="Arial"/>
        <family val="2"/>
      </rPr>
      <t xml:space="preserve">. Моральную поддержку оказали: </t>
    </r>
    <r>
      <rPr>
        <b/>
        <sz val="8"/>
        <color indexed="56"/>
        <rFont val="Arial"/>
        <family val="2"/>
      </rPr>
      <t>Domenica</t>
    </r>
    <r>
      <rPr>
        <b/>
        <sz val="8"/>
        <rFont val="Arial"/>
        <family val="2"/>
      </rPr>
      <t xml:space="preserve">, </t>
    </r>
    <r>
      <rPr>
        <b/>
        <sz val="8"/>
        <color indexed="56"/>
        <rFont val="Arial"/>
        <family val="2"/>
      </rPr>
      <t>Vincento</t>
    </r>
    <r>
      <rPr>
        <b/>
        <sz val="8"/>
        <rFont val="Arial"/>
        <family val="2"/>
      </rPr>
      <t xml:space="preserve">, </t>
    </r>
    <r>
      <rPr>
        <b/>
        <sz val="8"/>
        <color indexed="56"/>
        <rFont val="Arial"/>
        <family val="2"/>
      </rPr>
      <t>кузя</t>
    </r>
    <r>
      <rPr>
        <b/>
        <sz val="8"/>
        <rFont val="Arial"/>
        <family val="2"/>
      </rPr>
      <t xml:space="preserve"> и все остальные игроки, оставившие свои отзывы о предыдущих версиях программы на форуме и сайте.</t>
    </r>
  </si>
  <si>
    <t>Суперсенс</t>
  </si>
  <si>
    <t>Отражение</t>
  </si>
  <si>
    <t>Портал</t>
  </si>
  <si>
    <t>Отмена (религия)</t>
  </si>
  <si>
    <t>Радуга</t>
  </si>
  <si>
    <t>Дождь</t>
  </si>
  <si>
    <t>Рассеивание</t>
  </si>
  <si>
    <t>Маскировка</t>
  </si>
  <si>
    <t>Проклятие</t>
  </si>
  <si>
    <t>Паутина</t>
  </si>
  <si>
    <t>Слабость</t>
  </si>
  <si>
    <t>Вихрь</t>
  </si>
  <si>
    <t>Пентаграмма</t>
  </si>
  <si>
    <t>Забывчивость</t>
  </si>
  <si>
    <t>Ослепление</t>
  </si>
  <si>
    <t>Примечание: Для верного значения себестоимости введите желаемое значение цены ресурсов. Цена может быть взята из поля "себестоимость ресурса" листа "Мои города" или произвольно. Если не планируете использовать домовых или строителя поля "Вложено…" оставьте пустыми, или с нулевыми значениями.</t>
  </si>
  <si>
    <t>Примечание: Голубым цветом выделены значения взятые из листа "Мои города" и, если поле "введите свое значение" оставить пустым, то для расчета используется это значение.</t>
  </si>
  <si>
    <t>Примечание: Прошу учесть, что это только приблизительная модель спроса-предложения и полностью "отключать голову" при формировании рыночной цены не советую)))</t>
  </si>
  <si>
    <t xml:space="preserve">Стоимость ресурсов </t>
  </si>
  <si>
    <t>Др.пыль</t>
  </si>
  <si>
    <t>Техника</t>
  </si>
  <si>
    <t>Стоимость строительства</t>
  </si>
  <si>
    <t>Время строительства (час)</t>
  </si>
  <si>
    <t>СЕБЕСТОИМОСТЬ ИЗГОТОВЛЕНИЯ ЕДИНИЦЫ ТЕХНИКИ (золота)</t>
  </si>
  <si>
    <t>Галеон</t>
  </si>
  <si>
    <t>Когг</t>
  </si>
  <si>
    <t>Субмарина</t>
  </si>
  <si>
    <t>Катапульта</t>
  </si>
  <si>
    <t>Шахта</t>
  </si>
  <si>
    <t>Обоз</t>
  </si>
  <si>
    <t>Дирижабль</t>
  </si>
  <si>
    <t>Башня</t>
  </si>
  <si>
    <t>Ставка</t>
  </si>
  <si>
    <t>Пушка</t>
  </si>
  <si>
    <t>Котел</t>
  </si>
  <si>
    <t>Строитель</t>
  </si>
  <si>
    <t>Ворота</t>
  </si>
  <si>
    <t>Бурильщик</t>
  </si>
  <si>
    <t>Стоимость найма</t>
  </si>
  <si>
    <t>Название</t>
  </si>
  <si>
    <t>тип</t>
  </si>
  <si>
    <t>атака</t>
  </si>
  <si>
    <t>даль. атака</t>
  </si>
  <si>
    <t>дистанция атаки</t>
  </si>
  <si>
    <t>защита</t>
  </si>
  <si>
    <t>даль. защита</t>
  </si>
  <si>
    <t>маг. Защита</t>
  </si>
  <si>
    <t>НР</t>
  </si>
  <si>
    <t>ходы</t>
  </si>
  <si>
    <t>когорта</t>
  </si>
  <si>
    <t>Видимость</t>
  </si>
  <si>
    <t>Примечание</t>
  </si>
  <si>
    <t>Ополченцы</t>
  </si>
  <si>
    <t>воины</t>
  </si>
  <si>
    <t>на горы 70%</t>
  </si>
  <si>
    <t>Пикинеры</t>
  </si>
  <si>
    <t>на разведчиков 150%, на рыцарей 140%, на горы 70%</t>
  </si>
  <si>
    <t>Лучники</t>
  </si>
  <si>
    <t>на лес 80%, на горы 70%</t>
  </si>
  <si>
    <t>Арбалетчики</t>
  </si>
  <si>
    <t>на арбов 120%, на кнехтов 150%, на рыцарей 135%, на лес 80%, на горы 70%</t>
  </si>
  <si>
    <t>Мечники</t>
  </si>
  <si>
    <t>на разведчиков 70%, на рыцарей 70%</t>
  </si>
  <si>
    <t>Кнехты</t>
  </si>
  <si>
    <t>Разведчики</t>
  </si>
  <si>
    <t>на лес 50%, на горы 50%</t>
  </si>
  <si>
    <t>Рыцари</t>
  </si>
  <si>
    <t>Маги</t>
  </si>
  <si>
    <t>Кочевник</t>
  </si>
  <si>
    <t>религия стремительности, атака на лес и горы 80%</t>
  </si>
  <si>
    <t>Элефант</t>
  </si>
  <si>
    <t>религия силы, атака на лес 60%, на горы 70%</t>
  </si>
  <si>
    <t>Джинн</t>
  </si>
  <si>
    <t>религия магии, атака на горы 120%</t>
  </si>
  <si>
    <t>Ассасин</t>
  </si>
  <si>
    <t>религия диверсий</t>
  </si>
  <si>
    <t>Эльф</t>
  </si>
  <si>
    <t>религия лесов, атака на горы 70%</t>
  </si>
  <si>
    <t>Орк</t>
  </si>
  <si>
    <t>не нанимается, подчиняется религией диверсии</t>
  </si>
  <si>
    <t>Орк-лучник</t>
  </si>
  <si>
    <t>на горы 70%, на лес 80%</t>
  </si>
  <si>
    <t>Элитный орк</t>
  </si>
  <si>
    <t>Шаман</t>
  </si>
  <si>
    <t>Грузоподьемность</t>
  </si>
  <si>
    <t>Солдат</t>
  </si>
  <si>
    <t>Жизнь (дней)</t>
  </si>
  <si>
    <t>создания</t>
  </si>
  <si>
    <t>8(32)</t>
  </si>
  <si>
    <t>3 геройских</t>
  </si>
  <si>
    <t>?</t>
  </si>
  <si>
    <t>Когг (неспущенный)</t>
  </si>
  <si>
    <t>10(40)</t>
  </si>
  <si>
    <t>10 геройских</t>
  </si>
  <si>
    <t>15 (0)</t>
  </si>
  <si>
    <t>Галеон (неспущенный)</t>
  </si>
  <si>
    <t>7 (0)</t>
  </si>
  <si>
    <t>2 геройских</t>
  </si>
  <si>
    <t>Субмарина (неспущенна)</t>
  </si>
  <si>
    <t>5 геройских</t>
  </si>
  <si>
    <t>15(+2)</t>
  </si>
  <si>
    <t>Башня (неразложена)</t>
  </si>
  <si>
    <t>7(0)</t>
  </si>
  <si>
    <t>15(0)</t>
  </si>
  <si>
    <t>Шахта (неразложена)</t>
  </si>
  <si>
    <t>4 \ 5,2</t>
  </si>
  <si>
    <t>20 геройских</t>
  </si>
  <si>
    <t>100 геройских</t>
  </si>
  <si>
    <t>Ставка (неразложена)</t>
  </si>
  <si>
    <t>Доступен только религии торговли</t>
  </si>
  <si>
    <t>Дракон</t>
  </si>
  <si>
    <t>не нанимается</t>
  </si>
  <si>
    <t>Кракен</t>
  </si>
  <si>
    <t>Демон</t>
  </si>
  <si>
    <t>не нанимается, призывается магами</t>
  </si>
  <si>
    <t>Характеристики определяются силой вызывающего мага</t>
  </si>
  <si>
    <t>Многие из вышепреведенных данных можно найти в "Книге знаний" по адресу:</t>
  </si>
  <si>
    <t>http://warchaos.ru/book/0</t>
  </si>
  <si>
    <t>Рыночные цены на 30.01.2009</t>
  </si>
  <si>
    <t>Фабрика и Дороги по -1ур</t>
  </si>
  <si>
    <t>Фабрика и Дороги по +1ур</t>
  </si>
  <si>
    <t>На предидущем уровне военного здания</t>
  </si>
  <si>
    <t>Прирост форса в сутки (шт) для атеиста</t>
  </si>
  <si>
    <t>На следующем уровне военного здания</t>
  </si>
  <si>
    <t>нет</t>
  </si>
  <si>
    <t>Прирост кармы при условии ежедневного захода</t>
  </si>
  <si>
    <t>диверсия</t>
  </si>
  <si>
    <t>пики, ополы, орки(простой)</t>
  </si>
  <si>
    <t>форс</t>
  </si>
  <si>
    <t>0-1 когорта</t>
  </si>
  <si>
    <t>Колличество дней в игре</t>
  </si>
  <si>
    <t>Расчетное количество кармы</t>
  </si>
  <si>
    <t>не диверсия</t>
  </si>
  <si>
    <t>луки, арбалы, эльфы, орки(лучник)</t>
  </si>
  <si>
    <t>2 когорты</t>
  </si>
  <si>
    <t>мечи, кнехты, орки(элитный)</t>
  </si>
  <si>
    <t>шпионаж</t>
  </si>
  <si>
    <t>3+ когорты</t>
  </si>
  <si>
    <t>Колличество дней под аурой</t>
  </si>
  <si>
    <t>1 уровень</t>
  </si>
  <si>
    <t>разведы, рыцаки, маги, орки(шаманы)</t>
  </si>
  <si>
    <t>шапка</t>
  </si>
  <si>
    <t>2 уровень</t>
  </si>
  <si>
    <t>кочевник, джинн</t>
  </si>
  <si>
    <t>закл</t>
  </si>
  <si>
    <t>3 уровень</t>
  </si>
  <si>
    <t>элефанты</t>
  </si>
  <si>
    <t>4 уровень</t>
  </si>
  <si>
    <t>ассасины</t>
  </si>
  <si>
    <t>Расстояние между клетками с известными координатами</t>
  </si>
  <si>
    <t>клетка №1</t>
  </si>
  <si>
    <t>клетка №2</t>
  </si>
  <si>
    <t>Расчетное расстояние от клетки №1 до клетки №2</t>
  </si>
  <si>
    <t>маскировка</t>
  </si>
  <si>
    <r>
      <t xml:space="preserve">координата </t>
    </r>
    <r>
      <rPr>
        <b/>
        <sz val="10"/>
        <rFont val="Arial"/>
        <family val="2"/>
      </rPr>
      <t>Х</t>
    </r>
  </si>
  <si>
    <t>Х</t>
  </si>
  <si>
    <r>
      <t xml:space="preserve">координата </t>
    </r>
    <r>
      <rPr>
        <b/>
        <sz val="10"/>
        <rFont val="Arial"/>
        <family val="2"/>
      </rPr>
      <t>Y</t>
    </r>
  </si>
  <si>
    <t>Y</t>
  </si>
  <si>
    <t>Расчет видимости героя</t>
  </si>
  <si>
    <t>количество форса</t>
  </si>
  <si>
    <t>тип форса</t>
  </si>
  <si>
    <t>надетая шапка</t>
  </si>
  <si>
    <t>заклинение</t>
  </si>
  <si>
    <t>Количество когорт:</t>
  </si>
  <si>
    <t>Сумма модификаторов:</t>
  </si>
  <si>
    <t>ИТОГОВАЯ ВИДИМОСТЬ:</t>
  </si>
  <si>
    <t>Внимание! Данное поле используется для расчетов! Не стирайте и не изменяйте данные в этих ячейках, иначе расчеты будут неверными!</t>
  </si>
  <si>
    <t>Рыночные цены на 1.05.2009</t>
  </si>
  <si>
    <t>Артефакт</t>
  </si>
  <si>
    <t>Пыль</t>
  </si>
  <si>
    <t>Время</t>
  </si>
  <si>
    <t>Деревянный щит</t>
  </si>
  <si>
    <t>Дубинка орков</t>
  </si>
  <si>
    <t>Золотая броня</t>
  </si>
  <si>
    <t>Кожаная броня</t>
  </si>
  <si>
    <t>Короткий меч</t>
  </si>
  <si>
    <t>Меч-самосек</t>
  </si>
  <si>
    <t>Посох патриарха</t>
  </si>
  <si>
    <t>Разрывчатый лук</t>
  </si>
  <si>
    <t>Сапоги</t>
  </si>
  <si>
    <t>Молот силы</t>
  </si>
  <si>
    <t>Зубы орка</t>
  </si>
  <si>
    <t>Булава</t>
  </si>
  <si>
    <t>Спиритический шлем</t>
  </si>
  <si>
    <t>Амулет</t>
  </si>
  <si>
    <t>Время накопления необходимого количества ходов</t>
  </si>
  <si>
    <t>Сколько АП нужно накопить?</t>
  </si>
  <si>
    <t>Время накапления</t>
  </si>
  <si>
    <t>часа(ов)</t>
  </si>
  <si>
    <t>Максимальноые АП героя</t>
  </si>
  <si>
    <t>Примечание: заполнять только неокращенные клетки. Все желтые клетки заполняются автоматически!</t>
  </si>
  <si>
    <t>На нем вы всегда сможете скачать последнюю версию программы  (данная версия 1.5)</t>
  </si>
  <si>
    <t>ВАШ ГЕРОЙ</t>
  </si>
  <si>
    <t>Модификаторы героя:</t>
  </si>
  <si>
    <t>Сводная информация о герое:</t>
  </si>
  <si>
    <t>Ошибка!</t>
  </si>
  <si>
    <t>я</t>
  </si>
  <si>
    <t>враг</t>
  </si>
  <si>
    <t>ближняя</t>
  </si>
  <si>
    <t>Религия:</t>
  </si>
  <si>
    <t>Нет религии</t>
  </si>
  <si>
    <t>статы героя</t>
  </si>
  <si>
    <t>артефакт</t>
  </si>
  <si>
    <t>Ходы:</t>
  </si>
  <si>
    <t>Когорт:</t>
  </si>
  <si>
    <t>из максим.</t>
  </si>
  <si>
    <t>Меч(Молот) 1ур</t>
  </si>
  <si>
    <t>Зол.Броня 1ур</t>
  </si>
  <si>
    <t>Спир.Шлем 1ур</t>
  </si>
  <si>
    <t>Сапоги 1ур</t>
  </si>
  <si>
    <t>Зубы Орка 1ур</t>
  </si>
  <si>
    <t>видимость</t>
  </si>
  <si>
    <t>магич. атака</t>
  </si>
  <si>
    <t>ближняя атака на лес</t>
  </si>
  <si>
    <t>ближняя атака на горы</t>
  </si>
  <si>
    <t>дальняя атака на лес</t>
  </si>
  <si>
    <t>дальняя.атака на горы</t>
  </si>
  <si>
    <t>Тип форса:</t>
  </si>
  <si>
    <t>НР:</t>
  </si>
  <si>
    <t>Меч(Молот) 2ур</t>
  </si>
  <si>
    <t>Зол.Броня 2ур</t>
  </si>
  <si>
    <t>Спир.Шлем 2ур</t>
  </si>
  <si>
    <t>Сапоги 2ур</t>
  </si>
  <si>
    <t>Зубы Орка 2ур</t>
  </si>
  <si>
    <t>Количество форса:</t>
  </si>
  <si>
    <t>Мана:</t>
  </si>
  <si>
    <t>Меч(Молот) 3ур</t>
  </si>
  <si>
    <t>Зол.Броня 3ур</t>
  </si>
  <si>
    <t>Спир.Шлем 3ур</t>
  </si>
  <si>
    <t>Сапоги 3ур</t>
  </si>
  <si>
    <t>Зубы Орка 3ур</t>
  </si>
  <si>
    <t>Ассасины</t>
  </si>
  <si>
    <t>Статы форса:</t>
  </si>
  <si>
    <t>Бл. Атака:</t>
  </si>
  <si>
    <t>больше 12кл</t>
  </si>
  <si>
    <t>Меч(Молот) 4ур</t>
  </si>
  <si>
    <t>Зол.Броня 4ур</t>
  </si>
  <si>
    <t>Спир.Шлем 4ур</t>
  </si>
  <si>
    <t>Сапоги 4ур</t>
  </si>
  <si>
    <t>Зубы Орка 4ур</t>
  </si>
  <si>
    <t>Джины</t>
  </si>
  <si>
    <t>Дл. Атака:</t>
  </si>
  <si>
    <t>Силы</t>
  </si>
  <si>
    <t>меньше 12кл</t>
  </si>
  <si>
    <t>Лук 1ур</t>
  </si>
  <si>
    <t>Кожанка 1ур</t>
  </si>
  <si>
    <t>Шапка Нев. 1ур</t>
  </si>
  <si>
    <t>Сапоги-Скор.</t>
  </si>
  <si>
    <t>Мг. Атака:</t>
  </si>
  <si>
    <t>Стремительности</t>
  </si>
  <si>
    <t>дорога</t>
  </si>
  <si>
    <t>Лук 2ур</t>
  </si>
  <si>
    <t>Кожанка 2ур</t>
  </si>
  <si>
    <t>Шапка Нев. 2ур</t>
  </si>
  <si>
    <t>Кочевники</t>
  </si>
  <si>
    <t>Дистанция Атаки:</t>
  </si>
  <si>
    <t>Бл.Защита:</t>
  </si>
  <si>
    <t>Магии</t>
  </si>
  <si>
    <t>равнина</t>
  </si>
  <si>
    <t>Лук 3ур</t>
  </si>
  <si>
    <t>Кожанка 3ур</t>
  </si>
  <si>
    <t>Шапка Нев. 3ур</t>
  </si>
  <si>
    <t>Ближняя Атака:</t>
  </si>
  <si>
    <t>Дл.Защита:</t>
  </si>
  <si>
    <t>Диверсий</t>
  </si>
  <si>
    <t>лес</t>
  </si>
  <si>
    <t>Лук 4ур</t>
  </si>
  <si>
    <t>Кожанка 4ур</t>
  </si>
  <si>
    <t>Шапка Нев. 4ур</t>
  </si>
  <si>
    <t>Дальняя Атака:</t>
  </si>
  <si>
    <t>Мг.Защита:</t>
  </si>
  <si>
    <t>Введите предполагаемую защиту врага:</t>
  </si>
  <si>
    <t>Лесов</t>
  </si>
  <si>
    <t>темн.лес</t>
  </si>
  <si>
    <t>Посох 1ур</t>
  </si>
  <si>
    <t>Магическая Атака:</t>
  </si>
  <si>
    <t>Видимость:</t>
  </si>
  <si>
    <t>Введите предполагаемые НР солдата врага:</t>
  </si>
  <si>
    <t>Торговли</t>
  </si>
  <si>
    <t>болото</t>
  </si>
  <si>
    <t>Посох 2ур</t>
  </si>
  <si>
    <t>Щит 1ур</t>
  </si>
  <si>
    <t>Ближняя Защита:</t>
  </si>
  <si>
    <t>Общие НР:</t>
  </si>
  <si>
    <t>Введите количество солдат врага:</t>
  </si>
  <si>
    <t>гора</t>
  </si>
  <si>
    <t>Посох 3ур</t>
  </si>
  <si>
    <t>Щит 2ур</t>
  </si>
  <si>
    <t>Орки(лучник)</t>
  </si>
  <si>
    <t>Дальняя Защита:</t>
  </si>
  <si>
    <t>Посох 4ур</t>
  </si>
  <si>
    <t>Щит 3ур</t>
  </si>
  <si>
    <t>Орки(обычный)</t>
  </si>
  <si>
    <t>Магическия Защита:</t>
  </si>
  <si>
    <t>БЛИЖНИЙ БОЙ:</t>
  </si>
  <si>
    <t>Урон врагу за 1 удар:</t>
  </si>
  <si>
    <t>Потери врага за 1 удар:</t>
  </si>
  <si>
    <t>Роза 1ур</t>
  </si>
  <si>
    <t>Щит 4ур</t>
  </si>
  <si>
    <t>Орки(шаман)</t>
  </si>
  <si>
    <t>минимум</t>
  </si>
  <si>
    <t>среднее</t>
  </si>
  <si>
    <t>максимум</t>
  </si>
  <si>
    <t>Роза 2ур</t>
  </si>
  <si>
    <t>тело</t>
  </si>
  <si>
    <t>Орки(элитный)</t>
  </si>
  <si>
    <t>Когорта:</t>
  </si>
  <si>
    <t>Модификаторы ближнего боя:</t>
  </si>
  <si>
    <t>Итог:</t>
  </si>
  <si>
    <t>Роза 3ур</t>
  </si>
  <si>
    <t>левая рука</t>
  </si>
  <si>
    <t>Статы героя:</t>
  </si>
  <si>
    <t>Атака на лес:</t>
  </si>
  <si>
    <t>Роза 4ур</t>
  </si>
  <si>
    <t>дальняя</t>
  </si>
  <si>
    <t>Ближний бой</t>
  </si>
  <si>
    <t>Атака на горы:</t>
  </si>
  <si>
    <t>Стрельба</t>
  </si>
  <si>
    <t>Атака на арбалетчиков:</t>
  </si>
  <si>
    <t>Элефанты</t>
  </si>
  <si>
    <t>Выносливость</t>
  </si>
  <si>
    <t>Атака на разведчиков:</t>
  </si>
  <si>
    <t>Эльфы</t>
  </si>
  <si>
    <t>Логистика</t>
  </si>
  <si>
    <t>Атака на кнехтов:</t>
  </si>
  <si>
    <t>Лидерство</t>
  </si>
  <si>
    <t>Атака на рыцарей:</t>
  </si>
  <si>
    <t>Светлая магия</t>
  </si>
  <si>
    <t>Темная магия</t>
  </si>
  <si>
    <t>ДАЛЬНИЙ БОЙ:</t>
  </si>
  <si>
    <t>Урон врагу за 1 выстрел:</t>
  </si>
  <si>
    <t>Потери врага за 1 выстрел:</t>
  </si>
  <si>
    <t>Шпионаж</t>
  </si>
  <si>
    <t>Надетые артефакты:</t>
  </si>
  <si>
    <t>Модификаторы стрельбы:</t>
  </si>
  <si>
    <t>Пр. рука</t>
  </si>
  <si>
    <t>Лев. рука</t>
  </si>
  <si>
    <t>Тело</t>
  </si>
  <si>
    <t>Голова</t>
  </si>
  <si>
    <t>Ноги</t>
  </si>
  <si>
    <t>Шея</t>
  </si>
  <si>
    <r>
      <t xml:space="preserve">Над данной программой работал: </t>
    </r>
    <r>
      <rPr>
        <b/>
        <sz val="8"/>
        <color indexed="56"/>
        <rFont val="Arial"/>
        <family val="2"/>
      </rPr>
      <t>TiM_Twiser</t>
    </r>
    <r>
      <rPr>
        <b/>
        <sz val="8"/>
        <rFont val="Arial"/>
        <family val="2"/>
      </rPr>
      <t xml:space="preserve">. Неоценимую помощь оказали: </t>
    </r>
    <r>
      <rPr>
        <b/>
        <sz val="8"/>
        <color indexed="56"/>
        <rFont val="Arial"/>
        <family val="2"/>
      </rPr>
      <t>ХорС</t>
    </r>
    <r>
      <rPr>
        <b/>
        <sz val="8"/>
        <rFont val="Arial"/>
        <family val="2"/>
      </rPr>
      <t xml:space="preserve">, </t>
    </r>
    <r>
      <rPr>
        <b/>
        <sz val="8"/>
        <color indexed="56"/>
        <rFont val="Arial"/>
        <family val="2"/>
      </rPr>
      <t>Talisman</t>
    </r>
    <r>
      <rPr>
        <b/>
        <sz val="8"/>
        <rFont val="Arial"/>
        <family val="2"/>
      </rPr>
      <t xml:space="preserve">. Материальную поддержку оказал </t>
    </r>
    <r>
      <rPr>
        <b/>
        <sz val="8"/>
        <color indexed="56"/>
        <rFont val="Arial"/>
        <family val="2"/>
      </rPr>
      <t>кузя</t>
    </r>
    <r>
      <rPr>
        <b/>
        <sz val="8"/>
        <rFont val="Arial"/>
        <family val="2"/>
      </rPr>
      <t xml:space="preserve">. Моральную поддержку оказали: </t>
    </r>
    <r>
      <rPr>
        <b/>
        <sz val="8"/>
        <color indexed="56"/>
        <rFont val="Arial"/>
        <family val="2"/>
      </rPr>
      <t>Domenica</t>
    </r>
    <r>
      <rPr>
        <b/>
        <sz val="8"/>
        <rFont val="Arial"/>
        <family val="2"/>
      </rPr>
      <t xml:space="preserve">, </t>
    </r>
    <r>
      <rPr>
        <b/>
        <sz val="8"/>
        <color indexed="56"/>
        <rFont val="Arial"/>
        <family val="2"/>
      </rPr>
      <t>Vincento</t>
    </r>
    <r>
      <rPr>
        <b/>
        <sz val="8"/>
        <rFont val="Arial"/>
        <family val="2"/>
      </rPr>
      <t xml:space="preserve">, </t>
    </r>
    <r>
      <rPr>
        <b/>
        <sz val="8"/>
        <color indexed="56"/>
        <rFont val="Arial"/>
        <family val="2"/>
      </rPr>
      <t>кузя</t>
    </r>
    <r>
      <rPr>
        <b/>
        <sz val="8"/>
        <rFont val="Arial"/>
        <family val="2"/>
      </rPr>
      <t xml:space="preserve"> и все остальные игроки, оставившие свои отзывы о предыдущих версиях программы на форуме и сайте.</t>
    </r>
  </si>
  <si>
    <t>СЕБЕСТОИМОСТЬ ИЗГОТОВЛЕНИЯ ЕДИНИЦЫ АРТЕФАКТА (золота)</t>
  </si>
  <si>
    <t>Приблизительная рыночная цена артефакта</t>
  </si>
  <si>
    <t>Ситуация на рынке артефактов такова, что 1ур и 2ур врядли удастся продать по приведенным ценам и, тем более, получить прибыль с их продажи. Артефакты 1ур рекоммендуется сразу разбирать на пыль для следующих крафтов. Ощутимую прибыли приносит продажа только артефактов 4ур. Цену на них можно поднять на аукционе, особенно продавая такие артефакты комплектами.</t>
  </si>
  <si>
    <t>Тип форса</t>
  </si>
  <si>
    <t>Количество</t>
  </si>
  <si>
    <t>Предполагаемая защита</t>
  </si>
  <si>
    <t>Защита</t>
  </si>
  <si>
    <t>НР каждого</t>
  </si>
  <si>
    <t>нет артов</t>
  </si>
  <si>
    <t>слабая (арты 1-2ур)</t>
  </si>
  <si>
    <t>средняя (арты 3ур)</t>
  </si>
  <si>
    <t>сильная (арты 4ур)</t>
  </si>
  <si>
    <t>Приблизительная справочная информация о противнике:</t>
  </si>
  <si>
    <r>
      <t>Данный лист защищен от случайного изменения важных формул и значений. Для снятия защиты зайдите: "</t>
    </r>
    <r>
      <rPr>
        <b/>
        <i/>
        <sz val="10"/>
        <color indexed="12"/>
        <rFont val="Arial"/>
        <family val="2"/>
      </rPr>
      <t>Сервис-Защита-Снять защиту листа</t>
    </r>
    <r>
      <rPr>
        <b/>
        <i/>
        <sz val="10"/>
        <rFont val="Arial"/>
        <family val="2"/>
      </rPr>
      <t>" и введите пароль "</t>
    </r>
    <r>
      <rPr>
        <b/>
        <i/>
        <sz val="10"/>
        <color indexed="12"/>
        <rFont val="Arial"/>
        <family val="2"/>
      </rPr>
      <t>1</t>
    </r>
    <r>
      <rPr>
        <b/>
        <i/>
        <sz val="10"/>
        <rFont val="Arial"/>
        <family val="2"/>
      </rPr>
      <t>".</t>
    </r>
  </si>
  <si>
    <t>Меч(Молот) 5ур</t>
  </si>
  <si>
    <t>Лук 5ур</t>
  </si>
  <si>
    <t>Роза 5ур</t>
  </si>
  <si>
    <t>Посох 5ур</t>
  </si>
  <si>
    <t>руны</t>
  </si>
  <si>
    <t>Силы 1</t>
  </si>
  <si>
    <t>Силы 2</t>
  </si>
  <si>
    <t>Силы 3</t>
  </si>
  <si>
    <t>Силы 4</t>
  </si>
  <si>
    <t>Руна силы</t>
  </si>
  <si>
    <t>Руна цели</t>
  </si>
  <si>
    <t>Цели 1</t>
  </si>
  <si>
    <t>Цели 2</t>
  </si>
  <si>
    <t>Цели 3</t>
  </si>
  <si>
    <t>Цели 4</t>
  </si>
  <si>
    <t>Зубы Орка 5ур</t>
  </si>
  <si>
    <t>Кожанка 5ур</t>
  </si>
  <si>
    <t>Зол.Броня 5ур</t>
  </si>
  <si>
    <t>Щит 5ур</t>
  </si>
  <si>
    <t>Спир.Шлем 5ур</t>
  </si>
  <si>
    <t>Шапка Нев. 5ур</t>
  </si>
  <si>
    <t>Руна Жизни</t>
  </si>
  <si>
    <t>Жизни 1</t>
  </si>
  <si>
    <t>Жизни 3</t>
  </si>
  <si>
    <t>Жизни 2</t>
  </si>
  <si>
    <t>Жизни 4</t>
  </si>
  <si>
    <t>Руна стойкости</t>
  </si>
  <si>
    <t>Стойкость 1</t>
  </si>
  <si>
    <t>Стойкость 3</t>
  </si>
  <si>
    <t>Стойкость 4</t>
  </si>
  <si>
    <t>Стойкость 2</t>
  </si>
  <si>
    <t>Сапоги 5ур</t>
  </si>
  <si>
    <t>Армагиндец)</t>
  </si>
  <si>
    <t>Update by Mr. V   9/03/2011</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</si>
</sst>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s>
  <fonts count="94">
    <font>
      <sz val="10"/>
      <name val="Arial"/>
      <family val="0"/>
    </font>
    <font>
      <b/>
      <sz val="11"/>
      <color indexed="10"/>
      <name val="Arial Cyr"/>
      <family val="0"/>
    </font>
    <font>
      <b/>
      <sz val="12"/>
      <name val="Arial"/>
      <family val="2"/>
    </font>
    <font>
      <b/>
      <sz val="14"/>
      <name val="Arial"/>
      <family val="2"/>
    </font>
    <font>
      <b/>
      <sz val="10"/>
      <name val="Arial"/>
      <family val="2"/>
    </font>
    <font>
      <sz val="14"/>
      <name val="Arial"/>
      <family val="2"/>
    </font>
    <font>
      <b/>
      <i/>
      <sz val="12"/>
      <name val="Arial"/>
      <family val="2"/>
    </font>
    <font>
      <b/>
      <u val="single"/>
      <sz val="12"/>
      <color indexed="12"/>
      <name val="Arial"/>
      <family val="2"/>
    </font>
    <font>
      <u val="single"/>
      <sz val="10"/>
      <color indexed="12"/>
      <name val="Arial"/>
      <family val="2"/>
    </font>
    <font>
      <b/>
      <i/>
      <sz val="11"/>
      <name val="Arial"/>
      <family val="2"/>
    </font>
    <font>
      <b/>
      <sz val="10"/>
      <color indexed="56"/>
      <name val="Arial"/>
      <family val="2"/>
    </font>
    <font>
      <b/>
      <i/>
      <sz val="10"/>
      <name val="Arial"/>
      <family val="2"/>
    </font>
    <font>
      <b/>
      <sz val="8"/>
      <name val="Tahoma"/>
      <family val="2"/>
    </font>
    <font>
      <sz val="8"/>
      <name val="Tahoma"/>
      <family val="2"/>
    </font>
    <font>
      <sz val="7"/>
      <name val="Arial"/>
      <family val="2"/>
    </font>
    <font>
      <b/>
      <i/>
      <sz val="9"/>
      <name val="Arial"/>
      <family val="2"/>
    </font>
    <font>
      <b/>
      <sz val="11"/>
      <name val="Arial"/>
      <family val="2"/>
    </font>
    <font>
      <sz val="8"/>
      <name val="Arial"/>
      <family val="2"/>
    </font>
    <font>
      <b/>
      <sz val="8"/>
      <name val="Arial"/>
      <family val="2"/>
    </font>
    <font>
      <b/>
      <sz val="20"/>
      <name val="Arial"/>
      <family val="2"/>
    </font>
    <font>
      <sz val="22"/>
      <name val="Arial"/>
      <family val="2"/>
    </font>
    <font>
      <b/>
      <sz val="8"/>
      <color indexed="56"/>
      <name val="Arial"/>
      <family val="2"/>
    </font>
    <font>
      <b/>
      <sz val="10"/>
      <color indexed="10"/>
      <name val="Arial"/>
      <family val="2"/>
    </font>
    <font>
      <b/>
      <sz val="10"/>
      <name val="Tahoma"/>
      <family val="2"/>
    </font>
    <font>
      <b/>
      <sz val="8"/>
      <color indexed="10"/>
      <name val="Tahoma"/>
      <family val="2"/>
    </font>
    <font>
      <sz val="10"/>
      <color indexed="10"/>
      <name val="Arial"/>
      <family val="2"/>
    </font>
    <font>
      <b/>
      <u val="single"/>
      <sz val="11"/>
      <color indexed="12"/>
      <name val="Arial"/>
      <family val="2"/>
    </font>
    <font>
      <b/>
      <sz val="18"/>
      <name val="Arial"/>
      <family val="2"/>
    </font>
    <font>
      <sz val="11"/>
      <name val="Times New Roman"/>
      <family val="1"/>
    </font>
    <font>
      <sz val="8"/>
      <color indexed="9"/>
      <name val="Arial"/>
      <family val="2"/>
    </font>
    <font>
      <b/>
      <sz val="8"/>
      <color indexed="10"/>
      <name val="Arial"/>
      <family val="2"/>
    </font>
    <font>
      <sz val="8"/>
      <color indexed="23"/>
      <name val="Arial"/>
      <family val="2"/>
    </font>
    <font>
      <b/>
      <sz val="16"/>
      <name val="Arial"/>
      <family val="2"/>
    </font>
    <font>
      <b/>
      <sz val="26"/>
      <name val="Arial"/>
      <family val="2"/>
    </font>
    <font>
      <sz val="10"/>
      <color indexed="9"/>
      <name val="Arial"/>
      <family val="2"/>
    </font>
    <font>
      <b/>
      <sz val="12"/>
      <color indexed="9"/>
      <name val="Arial"/>
      <family val="2"/>
    </font>
    <font>
      <sz val="12"/>
      <color indexed="9"/>
      <name val="Arial"/>
      <family val="2"/>
    </font>
    <font>
      <b/>
      <sz val="9"/>
      <color indexed="10"/>
      <name val="Arial"/>
      <family val="2"/>
    </font>
    <font>
      <b/>
      <u val="single"/>
      <sz val="10"/>
      <name val="Arial"/>
      <family val="2"/>
    </font>
    <font>
      <b/>
      <sz val="7"/>
      <color indexed="10"/>
      <name val="Arial"/>
      <family val="2"/>
    </font>
    <font>
      <sz val="10"/>
      <name val="Verdana"/>
      <family val="2"/>
    </font>
    <font>
      <u val="single"/>
      <sz val="10"/>
      <color indexed="9"/>
      <name val="Arial"/>
      <family val="2"/>
    </font>
    <font>
      <sz val="10"/>
      <color indexed="22"/>
      <name val="Arial"/>
      <family val="2"/>
    </font>
    <font>
      <b/>
      <sz val="9"/>
      <color indexed="10"/>
      <name val="Arial Cyr"/>
      <family val="0"/>
    </font>
    <font>
      <b/>
      <sz val="12"/>
      <color indexed="10"/>
      <name val="Arial"/>
      <family val="2"/>
    </font>
    <font>
      <b/>
      <sz val="7"/>
      <name val="Arial"/>
      <family val="2"/>
    </font>
    <font>
      <b/>
      <sz val="8"/>
      <color indexed="10"/>
      <name val="Arial Cyr"/>
      <family val="0"/>
    </font>
    <font>
      <b/>
      <i/>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Arial"/>
      <family val="2"/>
    </font>
    <font>
      <b/>
      <sz val="8"/>
      <color indexed="9"/>
      <name val="Arial"/>
      <family val="2"/>
    </font>
    <font>
      <b/>
      <sz val="7"/>
      <color indexed="9"/>
      <name val="Arial"/>
      <family val="2"/>
    </font>
    <font>
      <b/>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tint="-0.24997000396251678"/>
      <name val="Arial"/>
      <family val="2"/>
    </font>
    <font>
      <sz val="10"/>
      <color theme="0"/>
      <name val="Arial"/>
      <family val="2"/>
    </font>
    <font>
      <sz val="8"/>
      <color theme="0"/>
      <name val="Arial"/>
      <family val="2"/>
    </font>
    <font>
      <b/>
      <sz val="8"/>
      <color theme="0"/>
      <name val="Arial"/>
      <family val="2"/>
    </font>
    <font>
      <b/>
      <sz val="7"/>
      <color theme="0"/>
      <name val="Arial"/>
      <family val="2"/>
    </font>
    <font>
      <b/>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
      <patternFill patternType="solid">
        <fgColor indexed="41"/>
        <bgColor indexed="64"/>
      </patternFill>
    </fill>
    <fill>
      <patternFill patternType="solid">
        <fgColor theme="0" tint="-0.24997000396251678"/>
        <bgColor indexed="64"/>
      </patternFill>
    </fill>
    <fill>
      <patternFill patternType="solid">
        <fgColor theme="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color indexed="63"/>
      </right>
      <top style="medium"/>
      <bottom style="hair"/>
    </border>
    <border>
      <left style="medium"/>
      <right>
        <color indexed="63"/>
      </right>
      <top>
        <color indexed="63"/>
      </top>
      <bottom>
        <color indexed="63"/>
      </bottom>
    </border>
    <border>
      <left style="medium"/>
      <right style="hair"/>
      <top style="medium"/>
      <bottom style="hair"/>
    </border>
    <border>
      <left>
        <color indexed="63"/>
      </left>
      <right style="hair"/>
      <top style="medium"/>
      <bottom style="hair"/>
    </border>
    <border>
      <left style="hair"/>
      <right style="medium"/>
      <top style="medium"/>
      <bottom>
        <color indexed="63"/>
      </bottom>
    </border>
    <border>
      <left>
        <color indexed="63"/>
      </left>
      <right style="medium"/>
      <top style="medium"/>
      <bottom style="hair"/>
    </border>
    <border>
      <left style="medium"/>
      <right style="hair"/>
      <top style="medium"/>
      <bottom style="medium"/>
    </border>
    <border>
      <left style="hair"/>
      <right>
        <color indexed="63"/>
      </right>
      <top style="medium"/>
      <bottom style="medium"/>
    </border>
    <border>
      <left>
        <color indexed="63"/>
      </left>
      <right style="hair"/>
      <top style="medium"/>
      <bottom style="medium"/>
    </border>
    <border>
      <left style="hair"/>
      <right style="medium"/>
      <top style="medium"/>
      <bottom style="medium"/>
    </border>
    <border>
      <left style="medium"/>
      <right style="hair"/>
      <top>
        <color indexed="63"/>
      </top>
      <bottom style="hair"/>
    </border>
    <border>
      <left>
        <color indexed="63"/>
      </left>
      <right style="hair"/>
      <top>
        <color indexed="63"/>
      </top>
      <bottom style="hair"/>
    </border>
    <border>
      <left style="hair"/>
      <right style="medium"/>
      <top>
        <color indexed="63"/>
      </top>
      <bottom style="hair"/>
    </border>
    <border>
      <left style="medium"/>
      <right style="hair"/>
      <top style="hair"/>
      <bottom style="hair"/>
    </border>
    <border>
      <left>
        <color indexed="63"/>
      </left>
      <right style="medium"/>
      <top style="hair"/>
      <bottom style="hair"/>
    </border>
    <border>
      <left>
        <color indexed="63"/>
      </left>
      <right style="medium"/>
      <top>
        <color indexed="63"/>
      </top>
      <bottom>
        <color indexed="63"/>
      </bottom>
    </border>
    <border>
      <left style="hair"/>
      <right style="medium"/>
      <top style="hair"/>
      <bottom style="hair"/>
    </border>
    <border>
      <left style="medium"/>
      <right>
        <color indexed="63"/>
      </right>
      <top style="medium"/>
      <bottom>
        <color indexed="63"/>
      </bottom>
    </border>
    <border>
      <left>
        <color indexed="63"/>
      </left>
      <right style="hair"/>
      <top style="hair"/>
      <bottom style="hair"/>
    </border>
    <border>
      <left>
        <color indexed="63"/>
      </left>
      <right style="medium"/>
      <top>
        <color indexed="63"/>
      </top>
      <bottom style="hair"/>
    </border>
    <border>
      <left>
        <color indexed="63"/>
      </left>
      <right>
        <color indexed="63"/>
      </right>
      <top style="medium"/>
      <bottom>
        <color indexed="63"/>
      </bottom>
    </border>
    <border>
      <left>
        <color indexed="63"/>
      </left>
      <right style="medium"/>
      <top style="medium"/>
      <bottom>
        <color indexed="63"/>
      </bottom>
    </border>
    <border>
      <left style="medium"/>
      <right style="hair"/>
      <top>
        <color indexed="63"/>
      </top>
      <bottom style="medium"/>
    </border>
    <border>
      <left>
        <color indexed="63"/>
      </left>
      <right style="medium"/>
      <top>
        <color indexed="63"/>
      </top>
      <bottom style="medium"/>
    </border>
    <border>
      <left style="medium"/>
      <right style="hair"/>
      <top style="hair"/>
      <bottom style="medium"/>
    </border>
    <border>
      <left>
        <color indexed="63"/>
      </left>
      <right style="hair"/>
      <top style="hair"/>
      <bottom style="medium"/>
    </border>
    <border>
      <left style="hair"/>
      <right style="medium"/>
      <top style="hair"/>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hair"/>
      <right style="medium"/>
      <top style="medium"/>
      <bottom style="hair"/>
    </border>
    <border>
      <left style="hair"/>
      <right style="hair"/>
      <top style="medium"/>
      <bottom style="hair"/>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hair"/>
      <bottom style="hair"/>
    </border>
    <border>
      <left style="hair"/>
      <right style="hair"/>
      <top style="hair"/>
      <bottom style="hair"/>
    </border>
    <border>
      <left style="medium"/>
      <right>
        <color indexed="63"/>
      </right>
      <top>
        <color indexed="63"/>
      </top>
      <bottom style="hair"/>
    </border>
    <border>
      <left>
        <color indexed="63"/>
      </left>
      <right style="hair"/>
      <top>
        <color indexed="63"/>
      </top>
      <bottom style="medium"/>
    </border>
    <border>
      <left style="medium"/>
      <right style="medium"/>
      <top>
        <color indexed="63"/>
      </top>
      <bottom style="medium"/>
    </border>
    <border>
      <left style="hair"/>
      <right style="hair"/>
      <top style="hair"/>
      <bottom style="medium"/>
    </border>
    <border>
      <left style="hair"/>
      <right style="medium"/>
      <top>
        <color indexed="63"/>
      </top>
      <bottom style="medium"/>
    </border>
    <border>
      <left style="hair"/>
      <right style="hair"/>
      <top>
        <color indexed="63"/>
      </top>
      <bottom style="medium"/>
    </border>
    <border>
      <left>
        <color indexed="63"/>
      </left>
      <right>
        <color indexed="63"/>
      </right>
      <top>
        <color indexed="63"/>
      </top>
      <bottom style="hair"/>
    </border>
    <border>
      <left>
        <color indexed="63"/>
      </left>
      <right>
        <color indexed="63"/>
      </right>
      <top style="hair"/>
      <bottom style="hair"/>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medium"/>
      <top style="medium"/>
      <bottom style="thin"/>
    </border>
    <border>
      <left>
        <color indexed="63"/>
      </left>
      <right style="thin"/>
      <top>
        <color indexed="63"/>
      </top>
      <bottom style="thin"/>
    </border>
    <border>
      <left style="medium"/>
      <right style="medium"/>
      <top style="thin"/>
      <bottom style="thin"/>
    </border>
    <border>
      <left style="medium"/>
      <right style="medium"/>
      <top style="thin"/>
      <bottom style="medium"/>
    </border>
    <border>
      <left>
        <color indexed="63"/>
      </left>
      <right style="hair"/>
      <top style="thin"/>
      <bottom style="thin"/>
    </border>
    <border>
      <left>
        <color indexed="63"/>
      </left>
      <right style="thin"/>
      <top style="thin"/>
      <bottom>
        <color indexed="63"/>
      </bottom>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7" fillId="32" borderId="0" applyNumberFormat="0" applyBorder="0" applyAlignment="0" applyProtection="0"/>
  </cellStyleXfs>
  <cellXfs count="666">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0" fillId="33" borderId="0" xfId="0" applyFill="1" applyBorder="1" applyAlignment="1">
      <alignment horizontal="center"/>
    </xf>
    <xf numFmtId="0" fontId="4" fillId="34" borderId="11" xfId="0" applyFont="1" applyFill="1" applyBorder="1" applyAlignment="1">
      <alignment/>
    </xf>
    <xf numFmtId="0" fontId="0" fillId="33" borderId="0" xfId="0" applyFill="1" applyAlignment="1">
      <alignment horizontal="center"/>
    </xf>
    <xf numFmtId="0" fontId="0" fillId="33" borderId="12" xfId="0" applyFill="1" applyBorder="1" applyAlignment="1">
      <alignment/>
    </xf>
    <xf numFmtId="0" fontId="4" fillId="33" borderId="0" xfId="0" applyFont="1" applyFill="1" applyBorder="1" applyAlignment="1">
      <alignment horizontal="center"/>
    </xf>
    <xf numFmtId="0" fontId="0" fillId="0" borderId="11" xfId="0" applyFill="1" applyBorder="1" applyAlignment="1">
      <alignment horizontal="center"/>
    </xf>
    <xf numFmtId="0" fontId="0" fillId="0" borderId="11" xfId="0" applyBorder="1" applyAlignment="1">
      <alignment horizontal="center"/>
    </xf>
    <xf numFmtId="0" fontId="18" fillId="34" borderId="11" xfId="0" applyFont="1" applyFill="1" applyBorder="1" applyAlignment="1">
      <alignment horizontal="center" vertical="center" wrapText="1"/>
    </xf>
    <xf numFmtId="0" fontId="0" fillId="0" borderId="0" xfId="0" applyBorder="1" applyAlignment="1">
      <alignment horizontal="center"/>
    </xf>
    <xf numFmtId="0" fontId="4" fillId="33" borderId="13"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0" fillId="0" borderId="0" xfId="0" applyBorder="1" applyAlignment="1">
      <alignment/>
    </xf>
    <xf numFmtId="0" fontId="4" fillId="0" borderId="0" xfId="0" applyFont="1" applyBorder="1" applyAlignment="1">
      <alignment/>
    </xf>
    <xf numFmtId="0" fontId="0" fillId="33" borderId="15" xfId="0" applyFill="1" applyBorder="1" applyAlignment="1">
      <alignment/>
    </xf>
    <xf numFmtId="0" fontId="17" fillId="34" borderId="11" xfId="0" applyFont="1" applyFill="1" applyBorder="1" applyAlignment="1">
      <alignment horizontal="center" vertical="center"/>
    </xf>
    <xf numFmtId="0" fontId="17" fillId="0" borderId="11" xfId="0" applyFont="1" applyBorder="1" applyAlignment="1">
      <alignment horizontal="center"/>
    </xf>
    <xf numFmtId="0" fontId="25" fillId="0" borderId="11" xfId="0" applyFont="1" applyFill="1" applyBorder="1" applyAlignment="1">
      <alignment horizontal="center"/>
    </xf>
    <xf numFmtId="0" fontId="4" fillId="0" borderId="11" xfId="0" applyFont="1" applyFill="1" applyBorder="1" applyAlignment="1">
      <alignment horizontal="center"/>
    </xf>
    <xf numFmtId="0" fontId="4" fillId="33" borderId="10" xfId="0" applyFont="1" applyFill="1" applyBorder="1" applyAlignment="1">
      <alignment horizontal="center"/>
    </xf>
    <xf numFmtId="0" fontId="0" fillId="0" borderId="11" xfId="0" applyBorder="1" applyAlignment="1">
      <alignment horizontal="center" vertical="center"/>
    </xf>
    <xf numFmtId="0" fontId="0" fillId="0" borderId="11" xfId="0" applyBorder="1" applyAlignment="1">
      <alignment/>
    </xf>
    <xf numFmtId="0" fontId="0" fillId="33" borderId="10" xfId="0" applyFill="1" applyBorder="1" applyAlignment="1">
      <alignment horizontal="center"/>
    </xf>
    <xf numFmtId="0" fontId="25" fillId="0" borderId="11" xfId="0" applyFont="1" applyBorder="1" applyAlignment="1">
      <alignment horizontal="center"/>
    </xf>
    <xf numFmtId="0" fontId="4" fillId="34" borderId="16" xfId="0" applyFont="1" applyFill="1" applyBorder="1" applyAlignment="1">
      <alignment/>
    </xf>
    <xf numFmtId="0" fontId="17" fillId="0" borderId="16" xfId="0" applyFont="1" applyBorder="1" applyAlignment="1">
      <alignment horizontal="center"/>
    </xf>
    <xf numFmtId="0" fontId="0" fillId="0" borderId="16" xfId="0" applyBorder="1" applyAlignment="1">
      <alignment horizontal="center"/>
    </xf>
    <xf numFmtId="0" fontId="4" fillId="0" borderId="16" xfId="0" applyFont="1" applyFill="1" applyBorder="1" applyAlignment="1">
      <alignment horizontal="center"/>
    </xf>
    <xf numFmtId="0" fontId="0" fillId="33" borderId="15" xfId="0" applyFill="1" applyBorder="1" applyAlignment="1">
      <alignment horizontal="center"/>
    </xf>
    <xf numFmtId="0" fontId="0" fillId="0" borderId="16" xfId="0" applyBorder="1" applyAlignment="1">
      <alignment horizontal="center" vertical="center"/>
    </xf>
    <xf numFmtId="0" fontId="0" fillId="0" borderId="16" xfId="0" applyBorder="1" applyAlignment="1">
      <alignment/>
    </xf>
    <xf numFmtId="0" fontId="17" fillId="33" borderId="0" xfId="0" applyFont="1" applyFill="1" applyBorder="1" applyAlignment="1">
      <alignment horizontal="center"/>
    </xf>
    <xf numFmtId="0" fontId="0" fillId="33" borderId="11" xfId="0" applyFill="1" applyBorder="1" applyAlignment="1">
      <alignment horizontal="center"/>
    </xf>
    <xf numFmtId="0" fontId="0" fillId="33" borderId="0" xfId="0" applyFill="1" applyBorder="1" applyAlignment="1">
      <alignment horizontal="center" vertical="center"/>
    </xf>
    <xf numFmtId="0" fontId="4" fillId="34" borderId="17" xfId="0" applyFont="1" applyFill="1" applyBorder="1" applyAlignment="1">
      <alignment/>
    </xf>
    <xf numFmtId="0" fontId="17" fillId="0" borderId="17" xfId="0" applyFont="1" applyBorder="1" applyAlignment="1">
      <alignment horizontal="center"/>
    </xf>
    <xf numFmtId="0" fontId="4" fillId="0" borderId="17" xfId="0" applyFont="1" applyFill="1" applyBorder="1" applyAlignment="1">
      <alignment horizontal="center"/>
    </xf>
    <xf numFmtId="0" fontId="0" fillId="0" borderId="17" xfId="0" applyBorder="1" applyAlignment="1">
      <alignment horizontal="center"/>
    </xf>
    <xf numFmtId="0" fontId="25" fillId="0" borderId="17" xfId="0" applyFont="1" applyFill="1" applyBorder="1" applyAlignment="1">
      <alignment horizontal="center"/>
    </xf>
    <xf numFmtId="0" fontId="25" fillId="33" borderId="10" xfId="0" applyFont="1" applyFill="1" applyBorder="1" applyAlignment="1">
      <alignment horizontal="center"/>
    </xf>
    <xf numFmtId="0" fontId="25" fillId="33" borderId="0" xfId="0" applyFont="1" applyFill="1" applyBorder="1" applyAlignment="1">
      <alignment horizontal="center"/>
    </xf>
    <xf numFmtId="0" fontId="0" fillId="0" borderId="17" xfId="0" applyBorder="1" applyAlignment="1">
      <alignment horizontal="center" vertical="center"/>
    </xf>
    <xf numFmtId="0" fontId="0" fillId="0" borderId="17" xfId="0" applyBorder="1" applyAlignment="1">
      <alignment/>
    </xf>
    <xf numFmtId="0" fontId="25" fillId="0" borderId="16" xfId="0" applyFont="1" applyFill="1" applyBorder="1" applyAlignment="1">
      <alignment horizontal="center"/>
    </xf>
    <xf numFmtId="0" fontId="4" fillId="33" borderId="15" xfId="0" applyFont="1" applyFill="1" applyBorder="1" applyAlignment="1">
      <alignment horizontal="center"/>
    </xf>
    <xf numFmtId="0" fontId="25" fillId="0" borderId="17" xfId="0" applyFont="1" applyBorder="1" applyAlignment="1">
      <alignment horizontal="center"/>
    </xf>
    <xf numFmtId="0" fontId="18" fillId="33" borderId="13" xfId="0" applyFont="1" applyFill="1" applyBorder="1" applyAlignment="1">
      <alignment horizontal="center"/>
    </xf>
    <xf numFmtId="0" fontId="17" fillId="33" borderId="13" xfId="0" applyFont="1" applyFill="1" applyBorder="1" applyAlignment="1">
      <alignment horizontal="center"/>
    </xf>
    <xf numFmtId="0" fontId="18" fillId="33" borderId="0" xfId="0" applyFont="1" applyFill="1" applyBorder="1" applyAlignment="1">
      <alignment horizontal="center"/>
    </xf>
    <xf numFmtId="0" fontId="25" fillId="0" borderId="11" xfId="0" applyFont="1" applyFill="1" applyBorder="1" applyAlignment="1">
      <alignment horizontal="center"/>
    </xf>
    <xf numFmtId="0" fontId="0" fillId="0" borderId="17" xfId="0" applyFont="1" applyFill="1" applyBorder="1" applyAlignment="1">
      <alignment horizontal="center"/>
    </xf>
    <xf numFmtId="0" fontId="0" fillId="0" borderId="11" xfId="0" applyFont="1" applyFill="1" applyBorder="1" applyAlignment="1">
      <alignment horizontal="center"/>
    </xf>
    <xf numFmtId="0" fontId="0" fillId="0" borderId="18" xfId="0" applyBorder="1" applyAlignment="1">
      <alignment/>
    </xf>
    <xf numFmtId="0" fontId="9" fillId="33" borderId="0" xfId="0" applyFont="1" applyFill="1" applyBorder="1" applyAlignment="1">
      <alignment horizontal="center" vertical="center" wrapText="1"/>
    </xf>
    <xf numFmtId="0" fontId="0" fillId="33" borderId="13" xfId="0" applyFill="1" applyBorder="1" applyAlignment="1">
      <alignment horizontal="center"/>
    </xf>
    <xf numFmtId="0" fontId="0" fillId="33" borderId="14" xfId="0" applyFill="1" applyBorder="1" applyAlignment="1">
      <alignment horizontal="center"/>
    </xf>
    <xf numFmtId="0" fontId="0" fillId="0" borderId="11" xfId="0" applyBorder="1" applyAlignment="1">
      <alignment vertical="center"/>
    </xf>
    <xf numFmtId="0" fontId="0" fillId="0" borderId="0" xfId="0" applyBorder="1" applyAlignment="1">
      <alignment horizontal="center" vertical="center"/>
    </xf>
    <xf numFmtId="0" fontId="33" fillId="33" borderId="0" xfId="0" applyFont="1" applyFill="1" applyAlignment="1" applyProtection="1">
      <alignment/>
      <protection hidden="1"/>
    </xf>
    <xf numFmtId="0" fontId="4" fillId="33" borderId="0" xfId="0" applyFont="1" applyFill="1" applyBorder="1" applyAlignment="1" applyProtection="1">
      <alignment horizontal="left"/>
      <protection hidden="1"/>
    </xf>
    <xf numFmtId="0" fontId="0" fillId="33" borderId="0" xfId="0" applyFill="1" applyAlignment="1" applyProtection="1">
      <alignment/>
      <protection hidden="1"/>
    </xf>
    <xf numFmtId="0" fontId="3" fillId="33" borderId="0" xfId="0" applyFont="1" applyFill="1" applyBorder="1" applyAlignment="1" applyProtection="1">
      <alignment/>
      <protection hidden="1"/>
    </xf>
    <xf numFmtId="0" fontId="34" fillId="0" borderId="0" xfId="0" applyFont="1" applyFill="1" applyBorder="1" applyAlignment="1" applyProtection="1">
      <alignment/>
      <protection hidden="1"/>
    </xf>
    <xf numFmtId="0" fontId="0" fillId="0" borderId="0" xfId="0" applyAlignment="1" applyProtection="1">
      <alignment/>
      <protection hidden="1"/>
    </xf>
    <xf numFmtId="0" fontId="18" fillId="34" borderId="19" xfId="0" applyFont="1" applyFill="1" applyBorder="1" applyAlignment="1" applyProtection="1">
      <alignment/>
      <protection hidden="1"/>
    </xf>
    <xf numFmtId="0" fontId="0" fillId="33" borderId="20" xfId="0" applyFill="1" applyBorder="1" applyAlignment="1" applyProtection="1">
      <alignment/>
      <protection hidden="1"/>
    </xf>
    <xf numFmtId="0" fontId="0" fillId="34" borderId="21" xfId="0" applyFill="1" applyBorder="1" applyAlignment="1" applyProtection="1">
      <alignment/>
      <protection hidden="1"/>
    </xf>
    <xf numFmtId="0" fontId="18" fillId="34" borderId="22" xfId="0" applyFont="1" applyFill="1" applyBorder="1" applyAlignment="1" applyProtection="1">
      <alignment horizontal="center"/>
      <protection hidden="1"/>
    </xf>
    <xf numFmtId="0" fontId="18" fillId="34" borderId="23" xfId="0" applyFont="1" applyFill="1" applyBorder="1" applyAlignment="1" applyProtection="1">
      <alignment horizontal="center"/>
      <protection hidden="1"/>
    </xf>
    <xf numFmtId="0" fontId="0" fillId="33" borderId="0" xfId="0" applyFill="1" applyBorder="1" applyAlignment="1" applyProtection="1">
      <alignment/>
      <protection hidden="1"/>
    </xf>
    <xf numFmtId="0" fontId="18" fillId="34" borderId="21" xfId="0" applyFont="1" applyFill="1" applyBorder="1" applyAlignment="1" applyProtection="1">
      <alignment/>
      <protection hidden="1"/>
    </xf>
    <xf numFmtId="180" fontId="4" fillId="35" borderId="24" xfId="0" applyNumberFormat="1" applyFont="1" applyFill="1" applyBorder="1" applyAlignment="1" applyProtection="1">
      <alignment/>
      <protection hidden="1"/>
    </xf>
    <xf numFmtId="0" fontId="18" fillId="34" borderId="25" xfId="0" applyFont="1" applyFill="1" applyBorder="1" applyAlignment="1" applyProtection="1">
      <alignment/>
      <protection hidden="1"/>
    </xf>
    <xf numFmtId="180" fontId="0" fillId="35" borderId="26" xfId="0" applyNumberFormat="1" applyFill="1" applyBorder="1" applyAlignment="1" applyProtection="1">
      <alignment/>
      <protection hidden="1"/>
    </xf>
    <xf numFmtId="0" fontId="18" fillId="34" borderId="27" xfId="0" applyFont="1" applyFill="1" applyBorder="1" applyAlignment="1" applyProtection="1">
      <alignment/>
      <protection hidden="1"/>
    </xf>
    <xf numFmtId="0" fontId="0" fillId="35" borderId="28" xfId="0" applyFill="1" applyBorder="1" applyAlignment="1" applyProtection="1">
      <alignment/>
      <protection hidden="1"/>
    </xf>
    <xf numFmtId="0" fontId="18" fillId="34" borderId="20" xfId="0" applyFont="1" applyFill="1" applyBorder="1" applyAlignment="1" applyProtection="1">
      <alignment/>
      <protection hidden="1"/>
    </xf>
    <xf numFmtId="0" fontId="18" fillId="33" borderId="20" xfId="0" applyFont="1" applyFill="1" applyBorder="1" applyAlignment="1" applyProtection="1">
      <alignment horizontal="center"/>
      <protection hidden="1"/>
    </xf>
    <xf numFmtId="0" fontId="18" fillId="34" borderId="29" xfId="0" applyFont="1" applyFill="1" applyBorder="1" applyAlignment="1" applyProtection="1">
      <alignment/>
      <protection hidden="1"/>
    </xf>
    <xf numFmtId="0" fontId="0" fillId="35" borderId="30" xfId="0" applyFill="1" applyBorder="1" applyAlignment="1" applyProtection="1">
      <alignment/>
      <protection hidden="1"/>
    </xf>
    <xf numFmtId="0" fontId="0" fillId="35" borderId="31" xfId="0" applyFill="1" applyBorder="1" applyAlignment="1" applyProtection="1">
      <alignment/>
      <protection hidden="1"/>
    </xf>
    <xf numFmtId="0" fontId="18" fillId="34" borderId="32" xfId="0" applyFont="1" applyFill="1" applyBorder="1" applyAlignment="1" applyProtection="1">
      <alignment/>
      <protection hidden="1"/>
    </xf>
    <xf numFmtId="180" fontId="4" fillId="35" borderId="33" xfId="0" applyNumberFormat="1" applyFont="1" applyFill="1" applyBorder="1" applyAlignment="1" applyProtection="1">
      <alignment/>
      <protection hidden="1"/>
    </xf>
    <xf numFmtId="0" fontId="0" fillId="0" borderId="34" xfId="0" applyFill="1" applyBorder="1" applyAlignment="1" applyProtection="1">
      <alignment/>
      <protection locked="0"/>
    </xf>
    <xf numFmtId="0" fontId="22" fillId="33" borderId="20" xfId="0" applyFont="1" applyFill="1" applyBorder="1" applyAlignment="1" applyProtection="1">
      <alignment/>
      <protection hidden="1"/>
    </xf>
    <xf numFmtId="0" fontId="0" fillId="35" borderId="35" xfId="0" applyFill="1" applyBorder="1" applyAlignment="1" applyProtection="1">
      <alignment/>
      <protection hidden="1"/>
    </xf>
    <xf numFmtId="0" fontId="35" fillId="33" borderId="36" xfId="0" applyFont="1" applyFill="1" applyBorder="1" applyAlignment="1" applyProtection="1">
      <alignment horizontal="left"/>
      <protection hidden="1"/>
    </xf>
    <xf numFmtId="0" fontId="0" fillId="35" borderId="37" xfId="0" applyFill="1" applyBorder="1" applyAlignment="1" applyProtection="1">
      <alignment/>
      <protection hidden="1"/>
    </xf>
    <xf numFmtId="0" fontId="0" fillId="35" borderId="38" xfId="0" applyFill="1" applyBorder="1" applyAlignment="1" applyProtection="1">
      <alignment/>
      <protection hidden="1"/>
    </xf>
    <xf numFmtId="0" fontId="0" fillId="35" borderId="33" xfId="0" applyFill="1" applyBorder="1" applyAlignment="1" applyProtection="1">
      <alignment/>
      <protection hidden="1"/>
    </xf>
    <xf numFmtId="0" fontId="37" fillId="33" borderId="0" xfId="0" applyFont="1" applyFill="1" applyAlignment="1" applyProtection="1">
      <alignment/>
      <protection hidden="1"/>
    </xf>
    <xf numFmtId="0" fontId="18" fillId="34" borderId="36" xfId="0" applyFont="1" applyFill="1" applyBorder="1" applyAlignment="1" applyProtection="1">
      <alignment/>
      <protection hidden="1"/>
    </xf>
    <xf numFmtId="0" fontId="0" fillId="34" borderId="39" xfId="0" applyFill="1" applyBorder="1" applyAlignment="1" applyProtection="1">
      <alignment/>
      <protection hidden="1"/>
    </xf>
    <xf numFmtId="0" fontId="18" fillId="34" borderId="39" xfId="0" applyFont="1" applyFill="1" applyBorder="1" applyAlignment="1" applyProtection="1">
      <alignment/>
      <protection hidden="1"/>
    </xf>
    <xf numFmtId="1" fontId="2" fillId="0" borderId="40" xfId="0" applyNumberFormat="1" applyFont="1" applyFill="1" applyBorder="1" applyAlignment="1" applyProtection="1">
      <alignment horizontal="center"/>
      <protection locked="0"/>
    </xf>
    <xf numFmtId="0" fontId="22" fillId="33" borderId="0" xfId="0" applyFont="1" applyFill="1" applyAlignment="1" applyProtection="1">
      <alignment/>
      <protection hidden="1"/>
    </xf>
    <xf numFmtId="0" fontId="18" fillId="34" borderId="41" xfId="0" applyFont="1" applyFill="1" applyBorder="1" applyAlignment="1" applyProtection="1">
      <alignment/>
      <protection hidden="1"/>
    </xf>
    <xf numFmtId="180" fontId="4" fillId="35" borderId="42" xfId="0" applyNumberFormat="1" applyFont="1" applyFill="1" applyBorder="1" applyAlignment="1" applyProtection="1">
      <alignment/>
      <protection hidden="1"/>
    </xf>
    <xf numFmtId="0" fontId="0" fillId="34" borderId="0" xfId="0" applyFill="1" applyBorder="1" applyAlignment="1" applyProtection="1">
      <alignment/>
      <protection hidden="1"/>
    </xf>
    <xf numFmtId="1" fontId="2" fillId="0" borderId="34" xfId="0" applyNumberFormat="1" applyFont="1" applyFill="1" applyBorder="1" applyAlignment="1" applyProtection="1">
      <alignment horizontal="center"/>
      <protection locked="0"/>
    </xf>
    <xf numFmtId="0" fontId="18" fillId="34" borderId="43" xfId="0" applyFont="1" applyFill="1" applyBorder="1" applyAlignment="1" applyProtection="1">
      <alignment/>
      <protection hidden="1"/>
    </xf>
    <xf numFmtId="0" fontId="0" fillId="35" borderId="44" xfId="0" applyFill="1" applyBorder="1" applyAlignment="1" applyProtection="1">
      <alignment/>
      <protection hidden="1"/>
    </xf>
    <xf numFmtId="0" fontId="0" fillId="35" borderId="45" xfId="0" applyFill="1" applyBorder="1" applyAlignment="1" applyProtection="1">
      <alignment/>
      <protection hidden="1"/>
    </xf>
    <xf numFmtId="1" fontId="4" fillId="35" borderId="42" xfId="0" applyNumberFormat="1" applyFont="1" applyFill="1" applyBorder="1" applyAlignment="1" applyProtection="1">
      <alignment/>
      <protection hidden="1"/>
    </xf>
    <xf numFmtId="0" fontId="18" fillId="34" borderId="46" xfId="0" applyFont="1" applyFill="1" applyBorder="1" applyAlignment="1" applyProtection="1">
      <alignment/>
      <protection hidden="1"/>
    </xf>
    <xf numFmtId="0" fontId="0" fillId="34" borderId="47" xfId="0" applyFill="1" applyBorder="1" applyAlignment="1" applyProtection="1">
      <alignment/>
      <protection hidden="1"/>
    </xf>
    <xf numFmtId="1" fontId="2" fillId="0" borderId="42" xfId="0" applyNumberFormat="1" applyFont="1" applyFill="1" applyBorder="1" applyAlignment="1" applyProtection="1">
      <alignment horizontal="center"/>
      <protection locked="0"/>
    </xf>
    <xf numFmtId="0" fontId="38" fillId="34" borderId="36" xfId="0" applyFont="1" applyFill="1" applyBorder="1" applyAlignment="1" applyProtection="1">
      <alignment/>
      <protection hidden="1"/>
    </xf>
    <xf numFmtId="0" fontId="30" fillId="34" borderId="39" xfId="0" applyFont="1" applyFill="1" applyBorder="1" applyAlignment="1" applyProtection="1">
      <alignment vertical="center" wrapText="1"/>
      <protection hidden="1"/>
    </xf>
    <xf numFmtId="0" fontId="4" fillId="34" borderId="39" xfId="0" applyFont="1" applyFill="1" applyBorder="1" applyAlignment="1" applyProtection="1">
      <alignment horizontal="left"/>
      <protection hidden="1"/>
    </xf>
    <xf numFmtId="0" fontId="4" fillId="34" borderId="39" xfId="0" applyFont="1" applyFill="1" applyBorder="1" applyAlignment="1" applyProtection="1">
      <alignment horizontal="center"/>
      <protection hidden="1"/>
    </xf>
    <xf numFmtId="0" fontId="4" fillId="34" borderId="40" xfId="0" applyFont="1" applyFill="1" applyBorder="1" applyAlignment="1" applyProtection="1">
      <alignment horizontal="center"/>
      <protection hidden="1"/>
    </xf>
    <xf numFmtId="0" fontId="0" fillId="33" borderId="48" xfId="0" applyFill="1" applyBorder="1" applyAlignment="1" applyProtection="1">
      <alignment/>
      <protection hidden="1"/>
    </xf>
    <xf numFmtId="49" fontId="18" fillId="34" borderId="47" xfId="0" applyNumberFormat="1" applyFont="1" applyFill="1" applyBorder="1" applyAlignment="1" applyProtection="1">
      <alignment horizontal="center" vertical="center" wrapText="1"/>
      <protection hidden="1"/>
    </xf>
    <xf numFmtId="49" fontId="18" fillId="34" borderId="42" xfId="0" applyNumberFormat="1" applyFont="1" applyFill="1" applyBorder="1" applyAlignment="1" applyProtection="1">
      <alignment horizontal="center" vertical="center" wrapText="1"/>
      <protection hidden="1"/>
    </xf>
    <xf numFmtId="0" fontId="0" fillId="35" borderId="42" xfId="0" applyFill="1" applyBorder="1" applyAlignment="1" applyProtection="1">
      <alignment/>
      <protection hidden="1"/>
    </xf>
    <xf numFmtId="0" fontId="18" fillId="34" borderId="0" xfId="0" applyFont="1" applyFill="1" applyBorder="1" applyAlignment="1" applyProtection="1">
      <alignment/>
      <protection hidden="1"/>
    </xf>
    <xf numFmtId="1" fontId="4" fillId="36" borderId="21" xfId="0" applyNumberFormat="1" applyFont="1" applyFill="1" applyBorder="1" applyAlignment="1" applyProtection="1">
      <alignment horizontal="right"/>
      <protection hidden="1"/>
    </xf>
    <xf numFmtId="1" fontId="4" fillId="36" borderId="22" xfId="0" applyNumberFormat="1" applyFont="1" applyFill="1" applyBorder="1" applyAlignment="1" applyProtection="1">
      <alignment horizontal="right"/>
      <protection hidden="1"/>
    </xf>
    <xf numFmtId="1" fontId="4" fillId="36" borderId="49" xfId="0" applyNumberFormat="1" applyFont="1" applyFill="1" applyBorder="1" applyAlignment="1" applyProtection="1">
      <alignment horizontal="right" vertical="center" wrapText="1"/>
      <protection hidden="1"/>
    </xf>
    <xf numFmtId="180" fontId="4" fillId="36" borderId="21" xfId="0" applyNumberFormat="1" applyFont="1" applyFill="1" applyBorder="1" applyAlignment="1" applyProtection="1">
      <alignment horizontal="right"/>
      <protection hidden="1"/>
    </xf>
    <xf numFmtId="180" fontId="4" fillId="36" borderId="50" xfId="0" applyNumberFormat="1" applyFont="1" applyFill="1" applyBorder="1" applyAlignment="1" applyProtection="1">
      <alignment horizontal="right"/>
      <protection hidden="1"/>
    </xf>
    <xf numFmtId="180" fontId="4" fillId="36" borderId="49" xfId="0" applyNumberFormat="1" applyFont="1" applyFill="1" applyBorder="1" applyAlignment="1" applyProtection="1">
      <alignment horizontal="right"/>
      <protection hidden="1"/>
    </xf>
    <xf numFmtId="0" fontId="35" fillId="33" borderId="39" xfId="0" applyFont="1" applyFill="1" applyBorder="1" applyAlignment="1" applyProtection="1">
      <alignment horizontal="left"/>
      <protection hidden="1"/>
    </xf>
    <xf numFmtId="0" fontId="22" fillId="33" borderId="40" xfId="0" applyFont="1" applyFill="1" applyBorder="1" applyAlignment="1" applyProtection="1">
      <alignment horizontal="center"/>
      <protection hidden="1"/>
    </xf>
    <xf numFmtId="0" fontId="17" fillId="34" borderId="19" xfId="0" applyFont="1" applyFill="1" applyBorder="1" applyAlignment="1" applyProtection="1">
      <alignment/>
      <protection hidden="1"/>
    </xf>
    <xf numFmtId="0" fontId="0" fillId="34" borderId="22" xfId="0" applyFill="1" applyBorder="1" applyAlignment="1" applyProtection="1">
      <alignment/>
      <protection hidden="1"/>
    </xf>
    <xf numFmtId="180" fontId="0" fillId="35" borderId="22" xfId="0" applyNumberFormat="1" applyFill="1" applyBorder="1" applyAlignment="1" applyProtection="1">
      <alignment horizontal="center"/>
      <protection hidden="1"/>
    </xf>
    <xf numFmtId="180" fontId="0" fillId="35" borderId="24" xfId="0" applyNumberFormat="1" applyFill="1" applyBorder="1" applyAlignment="1" applyProtection="1">
      <alignment horizontal="right"/>
      <protection hidden="1"/>
    </xf>
    <xf numFmtId="1" fontId="4" fillId="35" borderId="29" xfId="0" applyNumberFormat="1" applyFont="1" applyFill="1" applyBorder="1" applyAlignment="1" applyProtection="1">
      <alignment horizontal="right"/>
      <protection hidden="1"/>
    </xf>
    <xf numFmtId="1" fontId="4" fillId="35" borderId="30" xfId="0" applyNumberFormat="1" applyFont="1" applyFill="1" applyBorder="1" applyAlignment="1" applyProtection="1">
      <alignment horizontal="right"/>
      <protection hidden="1"/>
    </xf>
    <xf numFmtId="1" fontId="4" fillId="35" borderId="31" xfId="0" applyNumberFormat="1" applyFont="1" applyFill="1" applyBorder="1" applyAlignment="1" applyProtection="1">
      <alignment horizontal="right" vertical="center" wrapText="1"/>
      <protection hidden="1"/>
    </xf>
    <xf numFmtId="180" fontId="4" fillId="35" borderId="51" xfId="0" applyNumberFormat="1" applyFont="1" applyFill="1" applyBorder="1" applyAlignment="1" applyProtection="1">
      <alignment horizontal="right"/>
      <protection hidden="1"/>
    </xf>
    <xf numFmtId="180" fontId="4" fillId="35" borderId="52" xfId="0" applyNumberFormat="1" applyFont="1" applyFill="1" applyBorder="1" applyAlignment="1" applyProtection="1">
      <alignment horizontal="right"/>
      <protection hidden="1"/>
    </xf>
    <xf numFmtId="180" fontId="4" fillId="35" borderId="53" xfId="0" applyNumberFormat="1" applyFont="1" applyFill="1" applyBorder="1" applyAlignment="1" applyProtection="1">
      <alignment horizontal="right"/>
      <protection hidden="1"/>
    </xf>
    <xf numFmtId="0" fontId="0" fillId="0" borderId="38" xfId="0" applyFill="1" applyBorder="1" applyAlignment="1" applyProtection="1">
      <alignment/>
      <protection locked="0"/>
    </xf>
    <xf numFmtId="0" fontId="18" fillId="33" borderId="20" xfId="0" applyFont="1" applyFill="1" applyBorder="1" applyAlignment="1" applyProtection="1">
      <alignment/>
      <protection hidden="1"/>
    </xf>
    <xf numFmtId="0" fontId="17" fillId="34" borderId="54" xfId="0" applyFont="1" applyFill="1" applyBorder="1" applyAlignment="1" applyProtection="1">
      <alignment/>
      <protection hidden="1"/>
    </xf>
    <xf numFmtId="0" fontId="0" fillId="34" borderId="37" xfId="0" applyFill="1" applyBorder="1" applyAlignment="1" applyProtection="1">
      <alignment/>
      <protection hidden="1"/>
    </xf>
    <xf numFmtId="180" fontId="0" fillId="35" borderId="37" xfId="0" applyNumberFormat="1" applyFill="1" applyBorder="1" applyAlignment="1" applyProtection="1">
      <alignment horizontal="center"/>
      <protection hidden="1"/>
    </xf>
    <xf numFmtId="180" fontId="0" fillId="35" borderId="33" xfId="0" applyNumberFormat="1" applyFill="1" applyBorder="1" applyAlignment="1" applyProtection="1">
      <alignment horizontal="right"/>
      <protection hidden="1"/>
    </xf>
    <xf numFmtId="1" fontId="4" fillId="35" borderId="32" xfId="0" applyNumberFormat="1" applyFont="1" applyFill="1" applyBorder="1" applyAlignment="1" applyProtection="1">
      <alignment horizontal="right"/>
      <protection hidden="1"/>
    </xf>
    <xf numFmtId="1" fontId="4" fillId="35" borderId="37" xfId="0" applyNumberFormat="1" applyFont="1" applyFill="1" applyBorder="1" applyAlignment="1" applyProtection="1">
      <alignment horizontal="right"/>
      <protection hidden="1"/>
    </xf>
    <xf numFmtId="1" fontId="4" fillId="35" borderId="35" xfId="0" applyNumberFormat="1" applyFont="1" applyFill="1" applyBorder="1" applyAlignment="1" applyProtection="1">
      <alignment horizontal="right" vertical="center" wrapText="1"/>
      <protection hidden="1"/>
    </xf>
    <xf numFmtId="180" fontId="4" fillId="35" borderId="32" xfId="0" applyNumberFormat="1" applyFont="1" applyFill="1" applyBorder="1" applyAlignment="1" applyProtection="1">
      <alignment horizontal="right"/>
      <protection hidden="1"/>
    </xf>
    <xf numFmtId="180" fontId="4" fillId="35" borderId="55" xfId="0" applyNumberFormat="1" applyFont="1" applyFill="1" applyBorder="1" applyAlignment="1" applyProtection="1">
      <alignment horizontal="right"/>
      <protection hidden="1"/>
    </xf>
    <xf numFmtId="180" fontId="4" fillId="35" borderId="35" xfId="0" applyNumberFormat="1" applyFont="1" applyFill="1" applyBorder="1" applyAlignment="1" applyProtection="1">
      <alignment horizontal="right"/>
      <protection hidden="1"/>
    </xf>
    <xf numFmtId="0" fontId="17" fillId="34" borderId="56" xfId="0" applyFont="1" applyFill="1" applyBorder="1" applyAlignment="1" applyProtection="1">
      <alignment/>
      <protection hidden="1"/>
    </xf>
    <xf numFmtId="0" fontId="0" fillId="34" borderId="30" xfId="0" applyFill="1" applyBorder="1" applyAlignment="1" applyProtection="1">
      <alignment/>
      <protection hidden="1"/>
    </xf>
    <xf numFmtId="0" fontId="17" fillId="34" borderId="46" xfId="0" applyFont="1" applyFill="1" applyBorder="1" applyAlignment="1" applyProtection="1">
      <alignment/>
      <protection hidden="1"/>
    </xf>
    <xf numFmtId="0" fontId="0" fillId="34" borderId="57" xfId="0" applyFill="1" applyBorder="1" applyAlignment="1" applyProtection="1">
      <alignment/>
      <protection hidden="1"/>
    </xf>
    <xf numFmtId="180" fontId="0" fillId="35" borderId="57" xfId="0" applyNumberFormat="1" applyFill="1" applyBorder="1" applyAlignment="1" applyProtection="1">
      <alignment horizontal="center"/>
      <protection hidden="1"/>
    </xf>
    <xf numFmtId="180" fontId="0" fillId="35" borderId="45" xfId="0" applyNumberFormat="1" applyFill="1" applyBorder="1" applyAlignment="1" applyProtection="1">
      <alignment horizontal="right"/>
      <protection hidden="1"/>
    </xf>
    <xf numFmtId="0" fontId="0" fillId="34" borderId="58" xfId="0" applyFill="1" applyBorder="1" applyAlignment="1" applyProtection="1">
      <alignment/>
      <protection hidden="1"/>
    </xf>
    <xf numFmtId="1" fontId="4" fillId="35" borderId="41" xfId="0" applyNumberFormat="1" applyFont="1" applyFill="1" applyBorder="1" applyAlignment="1" applyProtection="1">
      <alignment horizontal="right"/>
      <protection hidden="1"/>
    </xf>
    <xf numFmtId="1" fontId="4" fillId="35" borderId="59" xfId="0" applyNumberFormat="1" applyFont="1" applyFill="1" applyBorder="1" applyAlignment="1" applyProtection="1">
      <alignment horizontal="right"/>
      <protection hidden="1"/>
    </xf>
    <xf numFmtId="1" fontId="4" fillId="35" borderId="60" xfId="0" applyNumberFormat="1" applyFont="1" applyFill="1" applyBorder="1" applyAlignment="1" applyProtection="1">
      <alignment horizontal="right" vertical="center" wrapText="1"/>
      <protection hidden="1"/>
    </xf>
    <xf numFmtId="180" fontId="4" fillId="35" borderId="43" xfId="0" applyNumberFormat="1" applyFont="1" applyFill="1" applyBorder="1" applyAlignment="1" applyProtection="1">
      <alignment horizontal="right"/>
      <protection hidden="1"/>
    </xf>
    <xf numFmtId="180" fontId="4" fillId="35" borderId="61" xfId="0" applyNumberFormat="1" applyFont="1" applyFill="1" applyBorder="1" applyAlignment="1" applyProtection="1">
      <alignment horizontal="right"/>
      <protection hidden="1"/>
    </xf>
    <xf numFmtId="180" fontId="4" fillId="35" borderId="45" xfId="0" applyNumberFormat="1" applyFont="1" applyFill="1" applyBorder="1" applyAlignment="1" applyProtection="1">
      <alignment horizontal="right"/>
      <protection hidden="1"/>
    </xf>
    <xf numFmtId="0" fontId="18" fillId="33" borderId="48" xfId="0" applyFont="1" applyFill="1" applyBorder="1" applyAlignment="1" applyProtection="1">
      <alignment/>
      <protection hidden="1"/>
    </xf>
    <xf numFmtId="0" fontId="38" fillId="34" borderId="39" xfId="0" applyFont="1" applyFill="1" applyBorder="1" applyAlignment="1" applyProtection="1">
      <alignment/>
      <protection hidden="1"/>
    </xf>
    <xf numFmtId="0" fontId="0" fillId="34" borderId="39" xfId="0" applyFill="1" applyBorder="1" applyAlignment="1" applyProtection="1">
      <alignment/>
      <protection hidden="1"/>
    </xf>
    <xf numFmtId="0" fontId="0" fillId="0" borderId="42" xfId="0" applyFill="1" applyBorder="1" applyAlignment="1" applyProtection="1">
      <alignment/>
      <protection locked="0"/>
    </xf>
    <xf numFmtId="0" fontId="0" fillId="34" borderId="0" xfId="0" applyFill="1" applyBorder="1" applyAlignment="1" applyProtection="1">
      <alignment horizontal="center"/>
      <protection hidden="1"/>
    </xf>
    <xf numFmtId="0" fontId="18" fillId="34" borderId="56" xfId="0" applyFont="1" applyFill="1" applyBorder="1" applyAlignment="1" applyProtection="1">
      <alignment/>
      <protection hidden="1"/>
    </xf>
    <xf numFmtId="180" fontId="0" fillId="35" borderId="50" xfId="0" applyNumberFormat="1" applyFill="1" applyBorder="1" applyAlignment="1" applyProtection="1">
      <alignment horizontal="center"/>
      <protection hidden="1"/>
    </xf>
    <xf numFmtId="180" fontId="0" fillId="35" borderId="49" xfId="0" applyNumberFormat="1" applyFill="1" applyBorder="1" applyAlignment="1" applyProtection="1">
      <alignment horizontal="right"/>
      <protection hidden="1"/>
    </xf>
    <xf numFmtId="0" fontId="18" fillId="34" borderId="54" xfId="0" applyFont="1" applyFill="1" applyBorder="1" applyAlignment="1" applyProtection="1">
      <alignment/>
      <protection hidden="1"/>
    </xf>
    <xf numFmtId="180" fontId="0" fillId="35" borderId="30" xfId="0" applyNumberFormat="1" applyFill="1" applyBorder="1" applyAlignment="1" applyProtection="1">
      <alignment horizontal="center"/>
      <protection hidden="1"/>
    </xf>
    <xf numFmtId="180" fontId="0" fillId="35" borderId="38" xfId="0" applyNumberFormat="1" applyFill="1" applyBorder="1" applyAlignment="1" applyProtection="1">
      <alignment horizontal="right"/>
      <protection hidden="1"/>
    </xf>
    <xf numFmtId="0" fontId="0" fillId="33" borderId="0" xfId="0" applyFill="1" applyAlignment="1" applyProtection="1">
      <alignment horizontal="center"/>
      <protection hidden="1"/>
    </xf>
    <xf numFmtId="180" fontId="0" fillId="35" borderId="42" xfId="0" applyNumberFormat="1" applyFill="1" applyBorder="1" applyAlignment="1" applyProtection="1">
      <alignment horizontal="right"/>
      <protection hidden="1"/>
    </xf>
    <xf numFmtId="1" fontId="4" fillId="35" borderId="44" xfId="0" applyNumberFormat="1" applyFont="1" applyFill="1" applyBorder="1" applyAlignment="1" applyProtection="1">
      <alignment horizontal="right"/>
      <protection hidden="1"/>
    </xf>
    <xf numFmtId="49" fontId="18" fillId="33" borderId="0" xfId="0" applyNumberFormat="1" applyFont="1" applyFill="1" applyBorder="1" applyAlignment="1" applyProtection="1">
      <alignment horizontal="center" vertical="center" wrapText="1"/>
      <protection hidden="1"/>
    </xf>
    <xf numFmtId="0" fontId="0" fillId="0" borderId="0" xfId="0" applyFont="1" applyFill="1" applyBorder="1" applyAlignment="1" applyProtection="1">
      <alignment/>
      <protection hidden="1"/>
    </xf>
    <xf numFmtId="0" fontId="18" fillId="34" borderId="46" xfId="0" applyFont="1" applyFill="1" applyBorder="1" applyAlignment="1" applyProtection="1">
      <alignment horizontal="left"/>
      <protection hidden="1"/>
    </xf>
    <xf numFmtId="0" fontId="18" fillId="34" borderId="47" xfId="0" applyFont="1" applyFill="1" applyBorder="1" applyAlignment="1" applyProtection="1">
      <alignment horizontal="left"/>
      <protection hidden="1"/>
    </xf>
    <xf numFmtId="0" fontId="18" fillId="34" borderId="56" xfId="0" applyFont="1" applyFill="1" applyBorder="1" applyAlignment="1" applyProtection="1">
      <alignment horizontal="left"/>
      <protection hidden="1"/>
    </xf>
    <xf numFmtId="0" fontId="18" fillId="34" borderId="62" xfId="0" applyFont="1" applyFill="1" applyBorder="1" applyAlignment="1" applyProtection="1">
      <alignment horizontal="left"/>
      <protection hidden="1"/>
    </xf>
    <xf numFmtId="0" fontId="18" fillId="34" borderId="54" xfId="0" applyFont="1" applyFill="1" applyBorder="1" applyAlignment="1" applyProtection="1">
      <alignment horizontal="left"/>
      <protection hidden="1"/>
    </xf>
    <xf numFmtId="0" fontId="18" fillId="34" borderId="63" xfId="0" applyFont="1" applyFill="1" applyBorder="1" applyAlignment="1" applyProtection="1">
      <alignment horizontal="left"/>
      <protection hidden="1"/>
    </xf>
    <xf numFmtId="0" fontId="18" fillId="34" borderId="46" xfId="0" applyFont="1" applyFill="1" applyBorder="1" applyAlignment="1" applyProtection="1">
      <alignment horizontal="left"/>
      <protection hidden="1"/>
    </xf>
    <xf numFmtId="0" fontId="18" fillId="34" borderId="47" xfId="0" applyFont="1" applyFill="1" applyBorder="1" applyAlignment="1" applyProtection="1">
      <alignment horizontal="left"/>
      <protection hidden="1"/>
    </xf>
    <xf numFmtId="0" fontId="22" fillId="33" borderId="0" xfId="0" applyFont="1" applyFill="1" applyAlignment="1" applyProtection="1">
      <alignment horizontal="left" vertical="center" wrapText="1"/>
      <protection hidden="1"/>
    </xf>
    <xf numFmtId="0" fontId="4" fillId="33" borderId="0" xfId="0" applyFont="1" applyFill="1" applyBorder="1" applyAlignment="1" applyProtection="1">
      <alignment/>
      <protection hidden="1"/>
    </xf>
    <xf numFmtId="0" fontId="4" fillId="33" borderId="0" xfId="0" applyFont="1" applyFill="1" applyAlignment="1" applyProtection="1">
      <alignment/>
      <protection hidden="1"/>
    </xf>
    <xf numFmtId="0" fontId="25" fillId="33" borderId="0" xfId="0" applyFont="1" applyFill="1" applyAlignment="1" applyProtection="1">
      <alignment/>
      <protection hidden="1"/>
    </xf>
    <xf numFmtId="2" fontId="42" fillId="33" borderId="0" xfId="0" applyNumberFormat="1" applyFont="1" applyFill="1" applyAlignment="1" applyProtection="1">
      <alignment/>
      <protection hidden="1"/>
    </xf>
    <xf numFmtId="0" fontId="30" fillId="33" borderId="39" xfId="0" applyFont="1" applyFill="1" applyBorder="1" applyAlignment="1" applyProtection="1">
      <alignment vertical="center" wrapText="1"/>
      <protection hidden="1"/>
    </xf>
    <xf numFmtId="0" fontId="30" fillId="33" borderId="0" xfId="0" applyFont="1" applyFill="1" applyAlignment="1" applyProtection="1">
      <alignment vertical="center" wrapText="1"/>
      <protection hidden="1"/>
    </xf>
    <xf numFmtId="0" fontId="30" fillId="0" borderId="0" xfId="0" applyFont="1" applyFill="1" applyAlignment="1" applyProtection="1">
      <alignment vertical="center" wrapText="1"/>
      <protection hidden="1"/>
    </xf>
    <xf numFmtId="0" fontId="4" fillId="0" borderId="0" xfId="0" applyFont="1" applyFill="1" applyBorder="1" applyAlignment="1">
      <alignment horizontal="center" vertical="center" wrapText="1"/>
    </xf>
    <xf numFmtId="0" fontId="0" fillId="35" borderId="11" xfId="0" applyFill="1" applyBorder="1" applyAlignment="1" applyProtection="1">
      <alignment/>
      <protection hidden="1"/>
    </xf>
    <xf numFmtId="0" fontId="45" fillId="34" borderId="11" xfId="0" applyFont="1" applyFill="1" applyBorder="1" applyAlignment="1" applyProtection="1">
      <alignment horizontal="center"/>
      <protection hidden="1"/>
    </xf>
    <xf numFmtId="0" fontId="2" fillId="33" borderId="0" xfId="0" applyFont="1" applyFill="1" applyBorder="1" applyAlignment="1" applyProtection="1">
      <alignment/>
      <protection hidden="1"/>
    </xf>
    <xf numFmtId="0" fontId="17" fillId="34" borderId="11" xfId="0" applyFont="1" applyFill="1" applyBorder="1" applyAlignment="1" applyProtection="1">
      <alignment horizontal="center"/>
      <protection hidden="1"/>
    </xf>
    <xf numFmtId="0" fontId="0" fillId="35" borderId="11" xfId="0" applyFill="1" applyBorder="1" applyAlignment="1" applyProtection="1">
      <alignment horizontal="center"/>
      <protection hidden="1"/>
    </xf>
    <xf numFmtId="180" fontId="0" fillId="35" borderId="11" xfId="0" applyNumberFormat="1" applyFill="1" applyBorder="1" applyAlignment="1" applyProtection="1">
      <alignment horizontal="center"/>
      <protection hidden="1"/>
    </xf>
    <xf numFmtId="0" fontId="34" fillId="33" borderId="0" xfId="0" applyFont="1" applyFill="1" applyBorder="1" applyAlignment="1" applyProtection="1">
      <alignment/>
      <protection hidden="1"/>
    </xf>
    <xf numFmtId="0" fontId="41" fillId="33" borderId="0" xfId="42" applyFont="1" applyFill="1" applyBorder="1" applyAlignment="1" applyProtection="1">
      <alignment/>
      <protection hidden="1"/>
    </xf>
    <xf numFmtId="0" fontId="0" fillId="37" borderId="11" xfId="0" applyFill="1" applyBorder="1" applyAlignment="1" applyProtection="1">
      <alignment horizontal="center"/>
      <protection locked="0"/>
    </xf>
    <xf numFmtId="0" fontId="0" fillId="33" borderId="0" xfId="0" applyFill="1" applyAlignment="1" applyProtection="1">
      <alignment horizontal="center" wrapText="1"/>
      <protection hidden="1"/>
    </xf>
    <xf numFmtId="0" fontId="0" fillId="0" borderId="0" xfId="0" applyAlignment="1" applyProtection="1">
      <alignment horizontal="center" wrapText="1"/>
      <protection hidden="1"/>
    </xf>
    <xf numFmtId="0" fontId="2" fillId="34" borderId="20" xfId="0" applyFont="1" applyFill="1" applyBorder="1" applyAlignment="1" applyProtection="1">
      <alignment horizontal="center"/>
      <protection hidden="1"/>
    </xf>
    <xf numFmtId="0" fontId="2" fillId="34" borderId="0" xfId="0" applyFont="1" applyFill="1" applyBorder="1" applyAlignment="1" applyProtection="1">
      <alignment horizontal="center"/>
      <protection hidden="1"/>
    </xf>
    <xf numFmtId="0" fontId="2" fillId="34" borderId="34" xfId="0" applyFont="1" applyFill="1" applyBorder="1" applyAlignment="1" applyProtection="1">
      <alignment horizontal="center"/>
      <protection hidden="1"/>
    </xf>
    <xf numFmtId="0" fontId="31" fillId="38" borderId="36" xfId="0" applyFont="1" applyFill="1" applyBorder="1" applyAlignment="1" applyProtection="1">
      <alignment horizontal="center" wrapText="1"/>
      <protection hidden="1"/>
    </xf>
    <xf numFmtId="0" fontId="31" fillId="38" borderId="39" xfId="0" applyFont="1" applyFill="1" applyBorder="1" applyAlignment="1" applyProtection="1">
      <alignment horizontal="center" wrapText="1"/>
      <protection hidden="1"/>
    </xf>
    <xf numFmtId="0" fontId="31" fillId="38" borderId="40" xfId="0" applyFont="1" applyFill="1" applyBorder="1" applyAlignment="1" applyProtection="1">
      <alignment horizontal="center" wrapText="1"/>
      <protection hidden="1"/>
    </xf>
    <xf numFmtId="0" fontId="29" fillId="33" borderId="0" xfId="0" applyFont="1" applyFill="1" applyBorder="1" applyAlignment="1" applyProtection="1">
      <alignment horizontal="center" wrapText="1"/>
      <protection hidden="1"/>
    </xf>
    <xf numFmtId="0" fontId="0" fillId="34" borderId="34" xfId="0" applyFill="1" applyBorder="1" applyAlignment="1" applyProtection="1">
      <alignment/>
      <protection hidden="1"/>
    </xf>
    <xf numFmtId="0" fontId="31" fillId="38" borderId="20" xfId="0" applyFont="1" applyFill="1" applyBorder="1" applyAlignment="1" applyProtection="1">
      <alignment horizontal="center" wrapText="1"/>
      <protection hidden="1"/>
    </xf>
    <xf numFmtId="0" fontId="31" fillId="38" borderId="0" xfId="0" applyFont="1" applyFill="1" applyBorder="1" applyAlignment="1" applyProtection="1">
      <alignment horizontal="center" wrapText="1"/>
      <protection hidden="1"/>
    </xf>
    <xf numFmtId="0" fontId="31" fillId="38" borderId="34" xfId="0" applyFont="1" applyFill="1" applyBorder="1" applyAlignment="1" applyProtection="1">
      <alignment horizontal="center" wrapText="1"/>
      <protection hidden="1"/>
    </xf>
    <xf numFmtId="0" fontId="0" fillId="34" borderId="20" xfId="0" applyFill="1" applyBorder="1" applyAlignment="1" applyProtection="1">
      <alignment/>
      <protection hidden="1"/>
    </xf>
    <xf numFmtId="2" fontId="0" fillId="35" borderId="0" xfId="0" applyNumberFormat="1" applyFont="1" applyFill="1" applyBorder="1" applyAlignment="1" applyProtection="1">
      <alignment/>
      <protection hidden="1"/>
    </xf>
    <xf numFmtId="0" fontId="0" fillId="34" borderId="46" xfId="0" applyFill="1" applyBorder="1" applyAlignment="1" applyProtection="1">
      <alignment/>
      <protection hidden="1"/>
    </xf>
    <xf numFmtId="0" fontId="0" fillId="34" borderId="42" xfId="0" applyFill="1" applyBorder="1" applyAlignment="1" applyProtection="1">
      <alignment/>
      <protection hidden="1"/>
    </xf>
    <xf numFmtId="0" fontId="0" fillId="34" borderId="20" xfId="0" applyFill="1" applyBorder="1" applyAlignment="1" applyProtection="1">
      <alignment horizontal="center" wrapText="1"/>
      <protection hidden="1"/>
    </xf>
    <xf numFmtId="0" fontId="4" fillId="34" borderId="0" xfId="0" applyFont="1" applyFill="1" applyBorder="1" applyAlignment="1" applyProtection="1">
      <alignment horizontal="center" wrapText="1"/>
      <protection hidden="1"/>
    </xf>
    <xf numFmtId="0" fontId="0" fillId="34" borderId="0" xfId="0" applyFill="1" applyBorder="1" applyAlignment="1" applyProtection="1">
      <alignment horizontal="center" wrapText="1"/>
      <protection hidden="1"/>
    </xf>
    <xf numFmtId="0" fontId="0" fillId="34" borderId="34" xfId="0" applyFill="1" applyBorder="1" applyAlignment="1" applyProtection="1">
      <alignment horizontal="center" wrapText="1"/>
      <protection hidden="1"/>
    </xf>
    <xf numFmtId="0" fontId="31" fillId="38" borderId="46" xfId="0" applyFont="1" applyFill="1" applyBorder="1" applyAlignment="1" applyProtection="1">
      <alignment horizontal="center" wrapText="1"/>
      <protection hidden="1"/>
    </xf>
    <xf numFmtId="0" fontId="31" fillId="38" borderId="47" xfId="0" applyFont="1" applyFill="1" applyBorder="1" applyAlignment="1" applyProtection="1">
      <alignment horizontal="center" wrapText="1"/>
      <protection hidden="1"/>
    </xf>
    <xf numFmtId="0" fontId="31" fillId="38" borderId="42" xfId="0" applyFont="1" applyFill="1" applyBorder="1" applyAlignment="1" applyProtection="1">
      <alignment horizontal="center" wrapText="1"/>
      <protection hidden="1"/>
    </xf>
    <xf numFmtId="0" fontId="0" fillId="34" borderId="20" xfId="0" applyFill="1" applyBorder="1" applyAlignment="1" applyProtection="1">
      <alignment horizontal="right" wrapText="1"/>
      <protection hidden="1"/>
    </xf>
    <xf numFmtId="0" fontId="4" fillId="34" borderId="0" xfId="0" applyFont="1" applyFill="1" applyBorder="1" applyAlignment="1" applyProtection="1">
      <alignment horizontal="right" wrapText="1"/>
      <protection hidden="1"/>
    </xf>
    <xf numFmtId="1" fontId="0" fillId="35" borderId="0" xfId="0" applyNumberFormat="1" applyFill="1" applyBorder="1" applyAlignment="1" applyProtection="1">
      <alignment horizontal="right" wrapText="1"/>
      <protection hidden="1"/>
    </xf>
    <xf numFmtId="0" fontId="0" fillId="34" borderId="46" xfId="0" applyFill="1" applyBorder="1" applyAlignment="1" applyProtection="1">
      <alignment horizontal="center" wrapText="1"/>
      <protection hidden="1"/>
    </xf>
    <xf numFmtId="0" fontId="0" fillId="34" borderId="47" xfId="0" applyFill="1" applyBorder="1" applyAlignment="1" applyProtection="1">
      <alignment horizontal="center" wrapText="1"/>
      <protection hidden="1"/>
    </xf>
    <xf numFmtId="0" fontId="0" fillId="34" borderId="42" xfId="0" applyFill="1" applyBorder="1" applyAlignment="1" applyProtection="1">
      <alignment horizontal="center" wrapText="1"/>
      <protection hidden="1"/>
    </xf>
    <xf numFmtId="0" fontId="0" fillId="34" borderId="20" xfId="0" applyFill="1" applyBorder="1" applyAlignment="1" applyProtection="1">
      <alignment wrapText="1"/>
      <protection hidden="1"/>
    </xf>
    <xf numFmtId="0" fontId="0" fillId="34" borderId="0" xfId="0" applyFill="1" applyBorder="1" applyAlignment="1" applyProtection="1">
      <alignment wrapText="1"/>
      <protection hidden="1"/>
    </xf>
    <xf numFmtId="0" fontId="28" fillId="33" borderId="0" xfId="0" applyFont="1" applyFill="1" applyAlignment="1" applyProtection="1">
      <alignment/>
      <protection hidden="1"/>
    </xf>
    <xf numFmtId="0" fontId="17" fillId="34" borderId="20" xfId="0" applyFont="1" applyFill="1" applyBorder="1" applyAlignment="1" applyProtection="1">
      <alignment horizontal="center" wrapText="1"/>
      <protection hidden="1"/>
    </xf>
    <xf numFmtId="0" fontId="17" fillId="34" borderId="0" xfId="0" applyFont="1" applyFill="1" applyBorder="1" applyAlignment="1" applyProtection="1">
      <alignment horizontal="center" wrapText="1"/>
      <protection hidden="1"/>
    </xf>
    <xf numFmtId="0" fontId="17" fillId="34" borderId="34" xfId="0" applyFont="1" applyFill="1" applyBorder="1" applyAlignment="1" applyProtection="1">
      <alignment horizontal="center" wrapText="1"/>
      <protection hidden="1"/>
    </xf>
    <xf numFmtId="0" fontId="18" fillId="34" borderId="20" xfId="0" applyFont="1" applyFill="1" applyBorder="1" applyAlignment="1" applyProtection="1">
      <alignment horizontal="center" wrapText="1"/>
      <protection hidden="1"/>
    </xf>
    <xf numFmtId="180" fontId="0" fillId="35" borderId="0" xfId="0" applyNumberFormat="1" applyFill="1" applyBorder="1" applyAlignment="1" applyProtection="1">
      <alignment horizontal="center" wrapText="1"/>
      <protection hidden="1"/>
    </xf>
    <xf numFmtId="0" fontId="0" fillId="35" borderId="0" xfId="0" applyFill="1" applyBorder="1" applyAlignment="1" applyProtection="1">
      <alignment horizontal="center" wrapText="1"/>
      <protection hidden="1"/>
    </xf>
    <xf numFmtId="0" fontId="2" fillId="35" borderId="34" xfId="0" applyFont="1" applyFill="1" applyBorder="1" applyAlignment="1" applyProtection="1">
      <alignment horizontal="center" wrapText="1"/>
      <protection hidden="1"/>
    </xf>
    <xf numFmtId="0" fontId="4" fillId="34" borderId="0" xfId="0" applyFont="1" applyFill="1" applyBorder="1" applyAlignment="1" applyProtection="1">
      <alignment/>
      <protection hidden="1"/>
    </xf>
    <xf numFmtId="0" fontId="17" fillId="34" borderId="0" xfId="0" applyFont="1" applyFill="1" applyBorder="1" applyAlignment="1" applyProtection="1">
      <alignment horizontal="center"/>
      <protection hidden="1"/>
    </xf>
    <xf numFmtId="1" fontId="0" fillId="35" borderId="0" xfId="0" applyNumberFormat="1" applyFill="1" applyBorder="1" applyAlignment="1" applyProtection="1">
      <alignment horizontal="right"/>
      <protection hidden="1"/>
    </xf>
    <xf numFmtId="0" fontId="0" fillId="34" borderId="0" xfId="0" applyFill="1" applyBorder="1" applyAlignment="1" applyProtection="1">
      <alignment horizontal="left"/>
      <protection hidden="1"/>
    </xf>
    <xf numFmtId="180" fontId="0" fillId="35" borderId="0" xfId="0" applyNumberFormat="1" applyFill="1" applyBorder="1" applyAlignment="1" applyProtection="1">
      <alignment horizontal="right"/>
      <protection hidden="1"/>
    </xf>
    <xf numFmtId="0" fontId="0" fillId="34" borderId="34" xfId="0" applyFill="1" applyBorder="1" applyAlignment="1" applyProtection="1">
      <alignment horizontal="center"/>
      <protection hidden="1"/>
    </xf>
    <xf numFmtId="0" fontId="0" fillId="34" borderId="0" xfId="0" applyFill="1" applyAlignment="1" applyProtection="1">
      <alignment horizontal="center" wrapText="1"/>
      <protection hidden="1"/>
    </xf>
    <xf numFmtId="1" fontId="0" fillId="0" borderId="0" xfId="0" applyNumberFormat="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wrapText="1"/>
      <protection locked="0"/>
    </xf>
    <xf numFmtId="0" fontId="0" fillId="0" borderId="64" xfId="0" applyBorder="1" applyAlignment="1" applyProtection="1">
      <alignment horizontal="center" wrapText="1"/>
      <protection locked="0"/>
    </xf>
    <xf numFmtId="0" fontId="0" fillId="0" borderId="11" xfId="0" applyFill="1" applyBorder="1" applyAlignment="1" applyProtection="1">
      <alignment horizontal="center" wrapText="1"/>
      <protection locked="0"/>
    </xf>
    <xf numFmtId="0" fontId="0" fillId="0" borderId="65" xfId="0" applyFill="1" applyBorder="1" applyAlignment="1" applyProtection="1">
      <alignment horizontal="center" wrapText="1"/>
      <protection locked="0"/>
    </xf>
    <xf numFmtId="180" fontId="0" fillId="0" borderId="0" xfId="0" applyNumberFormat="1" applyBorder="1" applyAlignment="1" applyProtection="1">
      <alignment horizontal="center"/>
      <protection locked="0"/>
    </xf>
    <xf numFmtId="180" fontId="0" fillId="0" borderId="0" xfId="0" applyNumberFormat="1" applyFill="1" applyBorder="1" applyAlignment="1" applyProtection="1">
      <alignment horizontal="center"/>
      <protection locked="0"/>
    </xf>
    <xf numFmtId="0" fontId="1" fillId="33" borderId="0" xfId="0" applyFont="1" applyFill="1" applyBorder="1" applyAlignment="1" applyProtection="1">
      <alignment horizontal="center"/>
      <protection hidden="1"/>
    </xf>
    <xf numFmtId="0" fontId="0" fillId="0" borderId="0" xfId="0" applyFill="1" applyBorder="1" applyAlignment="1" applyProtection="1">
      <alignment/>
      <protection hidden="1"/>
    </xf>
    <xf numFmtId="0" fontId="0" fillId="0" borderId="0" xfId="0" applyFill="1" applyAlignment="1" applyProtection="1">
      <alignment/>
      <protection hidden="1"/>
    </xf>
    <xf numFmtId="0" fontId="0" fillId="34" borderId="11" xfId="0" applyFont="1" applyFill="1" applyBorder="1" applyAlignment="1" applyProtection="1">
      <alignment horizontal="center" wrapText="1"/>
      <protection hidden="1"/>
    </xf>
    <xf numFmtId="0" fontId="0" fillId="33" borderId="10" xfId="0" applyFill="1" applyBorder="1" applyAlignment="1" applyProtection="1">
      <alignment/>
      <protection hidden="1"/>
    </xf>
    <xf numFmtId="0" fontId="0" fillId="33" borderId="0" xfId="0" applyFill="1" applyBorder="1" applyAlignment="1" applyProtection="1">
      <alignment horizontal="center"/>
      <protection hidden="1"/>
    </xf>
    <xf numFmtId="0" fontId="0" fillId="34" borderId="18" xfId="0" applyFill="1" applyBorder="1" applyAlignment="1" applyProtection="1">
      <alignment horizontal="left"/>
      <protection hidden="1"/>
    </xf>
    <xf numFmtId="2" fontId="0" fillId="35" borderId="13" xfId="0" applyNumberFormat="1" applyFill="1" applyBorder="1" applyAlignment="1" applyProtection="1">
      <alignment/>
      <protection hidden="1"/>
    </xf>
    <xf numFmtId="0" fontId="0" fillId="34" borderId="66" xfId="0" applyFill="1" applyBorder="1" applyAlignment="1" applyProtection="1">
      <alignment horizontal="left"/>
      <protection hidden="1"/>
    </xf>
    <xf numFmtId="0" fontId="4" fillId="34" borderId="14" xfId="0" applyFont="1" applyFill="1" applyBorder="1" applyAlignment="1" applyProtection="1">
      <alignment horizontal="center"/>
      <protection hidden="1"/>
    </xf>
    <xf numFmtId="0" fontId="4" fillId="33" borderId="14" xfId="0" applyFont="1" applyFill="1" applyBorder="1" applyAlignment="1" applyProtection="1">
      <alignment horizontal="center"/>
      <protection hidden="1"/>
    </xf>
    <xf numFmtId="0" fontId="4" fillId="33" borderId="13" xfId="0" applyFont="1" applyFill="1" applyBorder="1" applyAlignment="1" applyProtection="1">
      <alignment horizontal="center"/>
      <protection hidden="1"/>
    </xf>
    <xf numFmtId="0" fontId="0" fillId="34" borderId="18" xfId="0" applyFill="1" applyBorder="1" applyAlignment="1" applyProtection="1">
      <alignment horizontal="center" wrapText="1"/>
      <protection hidden="1"/>
    </xf>
    <xf numFmtId="0" fontId="17" fillId="34" borderId="18" xfId="0" applyFont="1" applyFill="1" applyBorder="1" applyAlignment="1" applyProtection="1">
      <alignment vertical="center" wrapText="1"/>
      <protection hidden="1"/>
    </xf>
    <xf numFmtId="0" fontId="4" fillId="34" borderId="67" xfId="0" applyFont="1" applyFill="1" applyBorder="1" applyAlignment="1" applyProtection="1">
      <alignment wrapText="1"/>
      <protection hidden="1"/>
    </xf>
    <xf numFmtId="0" fontId="17" fillId="34" borderId="66" xfId="0" applyFont="1" applyFill="1" applyBorder="1" applyAlignment="1" applyProtection="1">
      <alignment vertical="center" wrapText="1"/>
      <protection hidden="1"/>
    </xf>
    <xf numFmtId="0" fontId="0" fillId="34" borderId="13" xfId="0" applyFill="1" applyBorder="1" applyAlignment="1" applyProtection="1">
      <alignment/>
      <protection hidden="1"/>
    </xf>
    <xf numFmtId="0" fontId="4" fillId="34" borderId="11" xfId="0" applyFont="1" applyFill="1" applyBorder="1" applyAlignment="1" applyProtection="1">
      <alignment/>
      <protection hidden="1"/>
    </xf>
    <xf numFmtId="180" fontId="0" fillId="35" borderId="11" xfId="0" applyNumberFormat="1" applyFill="1" applyBorder="1" applyAlignment="1" applyProtection="1">
      <alignment horizontal="right"/>
      <protection hidden="1"/>
    </xf>
    <xf numFmtId="0" fontId="0" fillId="34" borderId="68" xfId="0" applyFill="1" applyBorder="1" applyAlignment="1" applyProtection="1">
      <alignment horizontal="right"/>
      <protection hidden="1"/>
    </xf>
    <xf numFmtId="180" fontId="0" fillId="35" borderId="13" xfId="0" applyNumberFormat="1" applyFont="1" applyFill="1" applyBorder="1" applyAlignment="1" applyProtection="1">
      <alignment horizontal="right"/>
      <protection hidden="1"/>
    </xf>
    <xf numFmtId="0" fontId="0" fillId="34" borderId="66" xfId="0" applyFont="1" applyFill="1" applyBorder="1" applyAlignment="1" applyProtection="1">
      <alignment/>
      <protection hidden="1"/>
    </xf>
    <xf numFmtId="2" fontId="0" fillId="35" borderId="18" xfId="0" applyNumberFormat="1" applyFill="1" applyBorder="1" applyAlignment="1" applyProtection="1">
      <alignment/>
      <protection hidden="1"/>
    </xf>
    <xf numFmtId="180" fontId="0" fillId="35" borderId="69" xfId="0" applyNumberFormat="1" applyFill="1" applyBorder="1" applyAlignment="1" applyProtection="1">
      <alignment horizontal="right"/>
      <protection hidden="1"/>
    </xf>
    <xf numFmtId="180" fontId="0" fillId="35" borderId="66" xfId="0" applyNumberFormat="1" applyFill="1" applyBorder="1" applyAlignment="1" applyProtection="1">
      <alignment horizontal="right"/>
      <protection hidden="1"/>
    </xf>
    <xf numFmtId="180" fontId="0" fillId="35" borderId="17" xfId="0" applyNumberFormat="1" applyFill="1" applyBorder="1" applyAlignment="1" applyProtection="1">
      <alignment horizontal="right"/>
      <protection hidden="1"/>
    </xf>
    <xf numFmtId="1" fontId="0" fillId="35" borderId="13" xfId="0" applyNumberFormat="1" applyFill="1" applyBorder="1" applyAlignment="1" applyProtection="1">
      <alignment/>
      <protection hidden="1"/>
    </xf>
    <xf numFmtId="180" fontId="0" fillId="35" borderId="70" xfId="0" applyNumberFormat="1" applyFill="1" applyBorder="1" applyAlignment="1" applyProtection="1">
      <alignment horizontal="right"/>
      <protection hidden="1"/>
    </xf>
    <xf numFmtId="0" fontId="0" fillId="34" borderId="11" xfId="0" applyFill="1" applyBorder="1" applyAlignment="1" applyProtection="1">
      <alignment horizontal="center"/>
      <protection hidden="1"/>
    </xf>
    <xf numFmtId="0" fontId="0" fillId="34" borderId="12" xfId="0" applyFill="1" applyBorder="1" applyAlignment="1" applyProtection="1">
      <alignment/>
      <protection hidden="1"/>
    </xf>
    <xf numFmtId="0" fontId="0" fillId="33" borderId="14" xfId="0" applyFill="1" applyBorder="1" applyAlignment="1" applyProtection="1">
      <alignment/>
      <protection hidden="1"/>
    </xf>
    <xf numFmtId="2" fontId="0" fillId="35" borderId="71" xfId="0" applyNumberFormat="1" applyFill="1" applyBorder="1" applyAlignment="1" applyProtection="1">
      <alignment/>
      <protection hidden="1"/>
    </xf>
    <xf numFmtId="2" fontId="0" fillId="35" borderId="66" xfId="0" applyNumberFormat="1" applyFill="1" applyBorder="1" applyAlignment="1" applyProtection="1">
      <alignment/>
      <protection hidden="1"/>
    </xf>
    <xf numFmtId="1" fontId="0" fillId="33" borderId="72" xfId="0" applyNumberFormat="1" applyFill="1" applyBorder="1" applyAlignment="1" applyProtection="1">
      <alignment horizontal="right"/>
      <protection hidden="1"/>
    </xf>
    <xf numFmtId="0" fontId="0" fillId="33" borderId="12" xfId="0" applyFill="1" applyBorder="1" applyAlignment="1" applyProtection="1">
      <alignment/>
      <protection hidden="1"/>
    </xf>
    <xf numFmtId="1" fontId="0" fillId="33" borderId="12" xfId="0" applyNumberFormat="1" applyFill="1" applyBorder="1" applyAlignment="1" applyProtection="1">
      <alignment/>
      <protection hidden="1"/>
    </xf>
    <xf numFmtId="0" fontId="0" fillId="34" borderId="11" xfId="0" applyFont="1" applyFill="1" applyBorder="1" applyAlignment="1" applyProtection="1">
      <alignment horizontal="center"/>
      <protection hidden="1"/>
    </xf>
    <xf numFmtId="0" fontId="0" fillId="34" borderId="18" xfId="0" applyFont="1" applyFill="1" applyBorder="1" applyAlignment="1" applyProtection="1">
      <alignment horizontal="center"/>
      <protection hidden="1"/>
    </xf>
    <xf numFmtId="0" fontId="4" fillId="33" borderId="0" xfId="0" applyFont="1" applyFill="1" applyBorder="1" applyAlignment="1" applyProtection="1">
      <alignment horizontal="center"/>
      <protection hidden="1"/>
    </xf>
    <xf numFmtId="2" fontId="0" fillId="35" borderId="11" xfId="0" applyNumberFormat="1" applyFill="1" applyBorder="1" applyAlignment="1" applyProtection="1">
      <alignment horizontal="right"/>
      <protection hidden="1"/>
    </xf>
    <xf numFmtId="180" fontId="0" fillId="35" borderId="18" xfId="0" applyNumberFormat="1" applyFill="1" applyBorder="1" applyAlignment="1" applyProtection="1">
      <alignment horizontal="right"/>
      <protection hidden="1"/>
    </xf>
    <xf numFmtId="2" fontId="0" fillId="35" borderId="11" xfId="0" applyNumberFormat="1" applyFill="1" applyBorder="1" applyAlignment="1" applyProtection="1">
      <alignment horizontal="center" wrapText="1"/>
      <protection hidden="1"/>
    </xf>
    <xf numFmtId="1" fontId="0" fillId="35" borderId="11" xfId="0" applyNumberFormat="1" applyFill="1" applyBorder="1" applyAlignment="1" applyProtection="1">
      <alignment horizontal="center"/>
      <protection hidden="1"/>
    </xf>
    <xf numFmtId="2" fontId="0" fillId="35" borderId="11" xfId="0" applyNumberFormat="1" applyFill="1" applyBorder="1" applyAlignment="1" applyProtection="1">
      <alignment/>
      <protection hidden="1"/>
    </xf>
    <xf numFmtId="0" fontId="5" fillId="33" borderId="0" xfId="0" applyFont="1" applyFill="1" applyBorder="1" applyAlignment="1" applyProtection="1">
      <alignment vertical="center" wrapText="1"/>
      <protection hidden="1"/>
    </xf>
    <xf numFmtId="0" fontId="0" fillId="33" borderId="0" xfId="0" applyFill="1" applyBorder="1" applyAlignment="1" applyProtection="1">
      <alignment horizontal="center" wrapText="1"/>
      <protection hidden="1"/>
    </xf>
    <xf numFmtId="2" fontId="0" fillId="33" borderId="0" xfId="0" applyNumberFormat="1" applyFill="1" applyBorder="1" applyAlignment="1" applyProtection="1">
      <alignment/>
      <protection hidden="1"/>
    </xf>
    <xf numFmtId="0" fontId="0" fillId="0" borderId="0" xfId="0" applyAlignment="1" applyProtection="1">
      <alignment horizontal="center"/>
      <protection hidden="1"/>
    </xf>
    <xf numFmtId="1" fontId="0" fillId="0" borderId="66" xfId="60" applyNumberFormat="1" applyFont="1" applyBorder="1" applyAlignment="1" applyProtection="1">
      <alignment horizontal="right"/>
      <protection locked="0"/>
    </xf>
    <xf numFmtId="1" fontId="0" fillId="0" borderId="66" xfId="0" applyNumberFormat="1" applyBorder="1" applyAlignment="1" applyProtection="1">
      <alignment horizontal="right"/>
      <protection locked="0"/>
    </xf>
    <xf numFmtId="1" fontId="0" fillId="0" borderId="68" xfId="0" applyNumberFormat="1" applyBorder="1" applyAlignment="1" applyProtection="1">
      <alignment horizontal="right"/>
      <protection locked="0"/>
    </xf>
    <xf numFmtId="1" fontId="0" fillId="33" borderId="72" xfId="0" applyNumberFormat="1" applyFill="1" applyBorder="1" applyAlignment="1" applyProtection="1">
      <alignment horizontal="right"/>
      <protection locked="0"/>
    </xf>
    <xf numFmtId="0" fontId="0" fillId="33" borderId="0" xfId="0" applyFill="1" applyAlignment="1" applyProtection="1">
      <alignment/>
      <protection locked="0"/>
    </xf>
    <xf numFmtId="0" fontId="2" fillId="33" borderId="0" xfId="0" applyFont="1" applyFill="1" applyAlignment="1" applyProtection="1">
      <alignment wrapText="1"/>
      <protection hidden="1"/>
    </xf>
    <xf numFmtId="0" fontId="14" fillId="34" borderId="11" xfId="0" applyFont="1" applyFill="1" applyBorder="1" applyAlignment="1" applyProtection="1">
      <alignment horizontal="center" vertical="center" wrapText="1"/>
      <protection hidden="1"/>
    </xf>
    <xf numFmtId="0" fontId="14" fillId="34" borderId="11" xfId="0" applyFont="1" applyFill="1" applyBorder="1" applyAlignment="1" applyProtection="1">
      <alignment horizontal="center" vertical="center" wrapText="1"/>
      <protection hidden="1"/>
    </xf>
    <xf numFmtId="0" fontId="1" fillId="33" borderId="0" xfId="0" applyFont="1" applyFill="1" applyAlignment="1" applyProtection="1">
      <alignment/>
      <protection hidden="1"/>
    </xf>
    <xf numFmtId="0" fontId="2" fillId="34" borderId="13" xfId="0" applyFont="1" applyFill="1" applyBorder="1" applyAlignment="1" applyProtection="1">
      <alignment horizontal="left"/>
      <protection hidden="1"/>
    </xf>
    <xf numFmtId="0" fontId="0" fillId="34" borderId="66" xfId="0" applyFont="1" applyFill="1" applyBorder="1" applyAlignment="1" applyProtection="1">
      <alignment horizontal="center"/>
      <protection hidden="1"/>
    </xf>
    <xf numFmtId="2" fontId="0" fillId="34" borderId="11" xfId="0" applyNumberFormat="1" applyFill="1" applyBorder="1" applyAlignment="1" applyProtection="1">
      <alignment horizontal="center"/>
      <protection hidden="1"/>
    </xf>
    <xf numFmtId="0" fontId="2" fillId="34" borderId="0" xfId="0" applyFont="1" applyFill="1" applyBorder="1" applyAlignment="1" applyProtection="1">
      <alignment horizontal="left"/>
      <protection hidden="1"/>
    </xf>
    <xf numFmtId="0" fontId="2" fillId="34" borderId="14" xfId="0" applyFont="1" applyFill="1" applyBorder="1" applyAlignment="1" applyProtection="1">
      <alignment horizontal="left"/>
      <protection hidden="1"/>
    </xf>
    <xf numFmtId="0" fontId="0" fillId="34" borderId="72" xfId="0" applyFont="1" applyFill="1" applyBorder="1" applyAlignment="1" applyProtection="1">
      <alignment horizontal="center"/>
      <protection hidden="1"/>
    </xf>
    <xf numFmtId="0" fontId="0" fillId="34" borderId="66" xfId="0" applyFill="1" applyBorder="1" applyAlignment="1" applyProtection="1">
      <alignment horizontal="center"/>
      <protection hidden="1"/>
    </xf>
    <xf numFmtId="0" fontId="0" fillId="34" borderId="18" xfId="0" applyFont="1" applyFill="1" applyBorder="1" applyAlignment="1" applyProtection="1">
      <alignment horizontal="left"/>
      <protection hidden="1"/>
    </xf>
    <xf numFmtId="0" fontId="4" fillId="34" borderId="16" xfId="0" applyFont="1" applyFill="1" applyBorder="1" applyAlignment="1" applyProtection="1">
      <alignment horizontal="center" vertical="center"/>
      <protection hidden="1"/>
    </xf>
    <xf numFmtId="2" fontId="0" fillId="39" borderId="11" xfId="0" applyNumberFormat="1" applyFill="1" applyBorder="1" applyAlignment="1" applyProtection="1">
      <alignment horizontal="center"/>
      <protection hidden="1"/>
    </xf>
    <xf numFmtId="0" fontId="0" fillId="34" borderId="14" xfId="0" applyFill="1" applyBorder="1" applyAlignment="1" applyProtection="1">
      <alignment horizontal="left"/>
      <protection hidden="1"/>
    </xf>
    <xf numFmtId="0" fontId="0" fillId="34" borderId="72" xfId="0" applyFill="1" applyBorder="1" applyAlignment="1" applyProtection="1">
      <alignment horizontal="center"/>
      <protection hidden="1"/>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2" fillId="34" borderId="18" xfId="0" applyFont="1" applyFill="1" applyBorder="1" applyAlignment="1" applyProtection="1">
      <alignment/>
      <protection hidden="1"/>
    </xf>
    <xf numFmtId="0" fontId="2" fillId="34" borderId="13" xfId="0" applyFont="1" applyFill="1" applyBorder="1" applyAlignment="1" applyProtection="1">
      <alignment/>
      <protection hidden="1"/>
    </xf>
    <xf numFmtId="2" fontId="0" fillId="35" borderId="11" xfId="0" applyNumberFormat="1" applyFill="1" applyBorder="1" applyAlignment="1" applyProtection="1">
      <alignment horizontal="center"/>
      <protection hidden="1"/>
    </xf>
    <xf numFmtId="0" fontId="4" fillId="33" borderId="0" xfId="0" applyFont="1" applyFill="1" applyAlignment="1" applyProtection="1">
      <alignment horizontal="center" vertical="center" wrapText="1"/>
      <protection hidden="1"/>
    </xf>
    <xf numFmtId="0" fontId="0" fillId="33" borderId="0" xfId="0" applyFill="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17" fillId="34" borderId="11" xfId="0" applyFont="1" applyFill="1" applyBorder="1" applyAlignment="1" applyProtection="1">
      <alignment horizontal="center"/>
      <protection hidden="1"/>
    </xf>
    <xf numFmtId="0" fontId="17" fillId="33" borderId="0" xfId="0" applyFont="1" applyFill="1" applyAlignment="1" applyProtection="1">
      <alignment horizontal="center"/>
      <protection hidden="1"/>
    </xf>
    <xf numFmtId="1" fontId="0" fillId="34" borderId="11" xfId="0" applyNumberFormat="1" applyFill="1" applyBorder="1" applyAlignment="1" applyProtection="1">
      <alignment horizontal="center"/>
      <protection hidden="1"/>
    </xf>
    <xf numFmtId="1" fontId="4" fillId="34" borderId="11" xfId="0" applyNumberFormat="1" applyFont="1" applyFill="1" applyBorder="1" applyAlignment="1" applyProtection="1">
      <alignment horizontal="center"/>
      <protection hidden="1"/>
    </xf>
    <xf numFmtId="180" fontId="4" fillId="35" borderId="11" xfId="0" applyNumberFormat="1" applyFont="1" applyFill="1" applyBorder="1" applyAlignment="1" applyProtection="1">
      <alignment horizontal="center"/>
      <protection hidden="1"/>
    </xf>
    <xf numFmtId="180" fontId="0" fillId="35" borderId="18" xfId="0" applyNumberFormat="1" applyFill="1" applyBorder="1" applyAlignment="1" applyProtection="1">
      <alignment horizontal="center"/>
      <protection hidden="1"/>
    </xf>
    <xf numFmtId="0" fontId="0" fillId="35" borderId="64" xfId="0" applyFill="1" applyBorder="1" applyAlignment="1" applyProtection="1">
      <alignment horizontal="center"/>
      <protection hidden="1"/>
    </xf>
    <xf numFmtId="0" fontId="0" fillId="0" borderId="0" xfId="0" applyBorder="1" applyAlignment="1" applyProtection="1">
      <alignment horizontal="center"/>
      <protection hidden="1"/>
    </xf>
    <xf numFmtId="0" fontId="25" fillId="33" borderId="0" xfId="0" applyFont="1" applyFill="1" applyAlignment="1" applyProtection="1">
      <alignment horizontal="center"/>
      <protection hidden="1"/>
    </xf>
    <xf numFmtId="0" fontId="0" fillId="34" borderId="11" xfId="0" applyFill="1" applyBorder="1" applyAlignment="1" applyProtection="1">
      <alignment horizontal="left"/>
      <protection hidden="1"/>
    </xf>
    <xf numFmtId="0" fontId="22" fillId="33" borderId="0" xfId="0" applyFont="1" applyFill="1" applyAlignment="1" applyProtection="1">
      <alignment horizontal="center" vertical="center" wrapText="1"/>
      <protection hidden="1"/>
    </xf>
    <xf numFmtId="0" fontId="18" fillId="34" borderId="10" xfId="0" applyFont="1" applyFill="1" applyBorder="1" applyAlignment="1" applyProtection="1">
      <alignment horizontal="center"/>
      <protection hidden="1"/>
    </xf>
    <xf numFmtId="0" fontId="18" fillId="34" borderId="16" xfId="0" applyFont="1" applyFill="1" applyBorder="1" applyAlignment="1" applyProtection="1">
      <alignment horizontal="center"/>
      <protection hidden="1"/>
    </xf>
    <xf numFmtId="0" fontId="18" fillId="34" borderId="0" xfId="0" applyFont="1" applyFill="1" applyBorder="1" applyAlignment="1" applyProtection="1">
      <alignment horizontal="center"/>
      <protection hidden="1"/>
    </xf>
    <xf numFmtId="0" fontId="20" fillId="33" borderId="0" xfId="0" applyFont="1" applyFill="1" applyBorder="1" applyAlignment="1" applyProtection="1">
      <alignment vertical="center"/>
      <protection hidden="1"/>
    </xf>
    <xf numFmtId="0" fontId="0" fillId="0" borderId="0" xfId="0" applyAlignment="1" applyProtection="1">
      <alignment horizontal="left"/>
      <protection hidden="1"/>
    </xf>
    <xf numFmtId="2" fontId="4" fillId="0" borderId="13" xfId="0" applyNumberFormat="1" applyFont="1" applyBorder="1" applyAlignment="1" applyProtection="1">
      <alignment horizontal="center"/>
      <protection locked="0"/>
    </xf>
    <xf numFmtId="2" fontId="4" fillId="0" borderId="14" xfId="0" applyNumberFormat="1" applyFon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0" fontId="0" fillId="0" borderId="11" xfId="0" applyBorder="1" applyAlignment="1" applyProtection="1">
      <alignment horizontal="center"/>
      <protection locked="0"/>
    </xf>
    <xf numFmtId="1" fontId="0" fillId="0" borderId="64" xfId="0" applyNumberFormat="1" applyFill="1" applyBorder="1" applyAlignment="1" applyProtection="1">
      <alignment horizontal="center"/>
      <protection locked="0"/>
    </xf>
    <xf numFmtId="1" fontId="0" fillId="0" borderId="65" xfId="0" applyNumberFormat="1" applyFill="1" applyBorder="1" applyAlignment="1" applyProtection="1">
      <alignment horizontal="center"/>
      <protection locked="0"/>
    </xf>
    <xf numFmtId="180" fontId="0" fillId="0" borderId="64" xfId="0" applyNumberFormat="1" applyFill="1" applyBorder="1" applyAlignment="1" applyProtection="1">
      <alignment horizontal="center"/>
      <protection locked="0"/>
    </xf>
    <xf numFmtId="0" fontId="0" fillId="0" borderId="65" xfId="0" applyFill="1" applyBorder="1" applyAlignment="1" applyProtection="1">
      <alignment horizontal="center"/>
      <protection locked="0"/>
    </xf>
    <xf numFmtId="1" fontId="0" fillId="0" borderId="73" xfId="0" applyNumberFormat="1" applyFill="1" applyBorder="1" applyAlignment="1" applyProtection="1">
      <alignment horizontal="center"/>
      <protection locked="0"/>
    </xf>
    <xf numFmtId="1" fontId="0" fillId="0" borderId="74" xfId="0" applyNumberFormat="1" applyFill="1" applyBorder="1" applyAlignment="1" applyProtection="1">
      <alignment horizontal="center"/>
      <protection locked="0"/>
    </xf>
    <xf numFmtId="180" fontId="0" fillId="0" borderId="73" xfId="0" applyNumberFormat="1" applyFill="1" applyBorder="1" applyAlignment="1" applyProtection="1">
      <alignment horizontal="center"/>
      <protection locked="0"/>
    </xf>
    <xf numFmtId="0" fontId="0" fillId="0" borderId="74" xfId="0" applyFill="1" applyBorder="1" applyAlignment="1" applyProtection="1">
      <alignment horizontal="center"/>
      <protection locked="0"/>
    </xf>
    <xf numFmtId="180" fontId="0" fillId="0" borderId="11" xfId="0" applyNumberFormat="1" applyFill="1" applyBorder="1" applyAlignment="1" applyProtection="1">
      <alignment horizontal="center"/>
      <protection locked="0"/>
    </xf>
    <xf numFmtId="0" fontId="18" fillId="34" borderId="54" xfId="0" applyFont="1" applyFill="1" applyBorder="1" applyAlignment="1" applyProtection="1">
      <alignment horizontal="left"/>
      <protection hidden="1"/>
    </xf>
    <xf numFmtId="0" fontId="18" fillId="34" borderId="63" xfId="0" applyFont="1" applyFill="1" applyBorder="1" applyAlignment="1" applyProtection="1">
      <alignment horizontal="left"/>
      <protection hidden="1"/>
    </xf>
    <xf numFmtId="0" fontId="0" fillId="33" borderId="0" xfId="0" applyFont="1" applyFill="1" applyAlignment="1" applyProtection="1">
      <alignment/>
      <protection hidden="1"/>
    </xf>
    <xf numFmtId="0" fontId="88" fillId="40" borderId="0" xfId="0" applyFont="1" applyFill="1" applyBorder="1" applyAlignment="1" applyProtection="1">
      <alignment/>
      <protection hidden="1"/>
    </xf>
    <xf numFmtId="0" fontId="88" fillId="33" borderId="0" xfId="0" applyFont="1" applyFill="1" applyBorder="1" applyAlignment="1" applyProtection="1">
      <alignment/>
      <protection hidden="1"/>
    </xf>
    <xf numFmtId="0" fontId="89" fillId="41" borderId="0" xfId="0" applyFont="1" applyFill="1" applyBorder="1" applyAlignment="1" applyProtection="1">
      <alignment/>
      <protection hidden="1"/>
    </xf>
    <xf numFmtId="0" fontId="89" fillId="41" borderId="0" xfId="0" applyFont="1" applyFill="1" applyBorder="1" applyAlignment="1" applyProtection="1">
      <alignment horizontal="center"/>
      <protection hidden="1"/>
    </xf>
    <xf numFmtId="0" fontId="90" fillId="41" borderId="0" xfId="0" applyFont="1" applyFill="1" applyBorder="1" applyAlignment="1" applyProtection="1">
      <alignment/>
      <protection hidden="1"/>
    </xf>
    <xf numFmtId="0" fontId="90" fillId="41" borderId="0" xfId="0" applyFont="1" applyFill="1" applyBorder="1" applyAlignment="1" applyProtection="1">
      <alignment horizontal="center"/>
      <protection hidden="1"/>
    </xf>
    <xf numFmtId="180" fontId="90" fillId="41" borderId="0" xfId="0" applyNumberFormat="1" applyFont="1" applyFill="1" applyBorder="1" applyAlignment="1" applyProtection="1">
      <alignment/>
      <protection hidden="1"/>
    </xf>
    <xf numFmtId="0" fontId="90" fillId="41" borderId="0" xfId="0" applyFont="1" applyFill="1" applyBorder="1" applyAlignment="1" applyProtection="1">
      <alignment horizontal="center" wrapText="1"/>
      <protection hidden="1"/>
    </xf>
    <xf numFmtId="0" fontId="91" fillId="41" borderId="0" xfId="0" applyFont="1" applyFill="1" applyBorder="1" applyAlignment="1" applyProtection="1">
      <alignment horizontal="center" vertical="center" wrapText="1"/>
      <protection hidden="1"/>
    </xf>
    <xf numFmtId="0" fontId="92" fillId="41" borderId="0" xfId="0" applyFont="1" applyFill="1" applyBorder="1" applyAlignment="1" applyProtection="1">
      <alignment horizontal="center" vertical="center" wrapText="1"/>
      <protection hidden="1"/>
    </xf>
    <xf numFmtId="0" fontId="89" fillId="41" borderId="0" xfId="0" applyFont="1" applyFill="1" applyAlignment="1" applyProtection="1">
      <alignment/>
      <protection hidden="1"/>
    </xf>
    <xf numFmtId="0" fontId="93" fillId="41" borderId="0" xfId="0" applyFont="1" applyFill="1" applyBorder="1" applyAlignment="1" applyProtection="1">
      <alignment horizontal="center"/>
      <protection hidden="1"/>
    </xf>
    <xf numFmtId="180" fontId="89" fillId="41" borderId="0" xfId="0" applyNumberFormat="1" applyFont="1" applyFill="1" applyBorder="1" applyAlignment="1" applyProtection="1">
      <alignment/>
      <protection hidden="1"/>
    </xf>
    <xf numFmtId="0" fontId="89" fillId="41" borderId="0" xfId="0" applyFont="1" applyFill="1" applyBorder="1" applyAlignment="1" applyProtection="1">
      <alignment/>
      <protection hidden="1"/>
    </xf>
    <xf numFmtId="0" fontId="89" fillId="41" borderId="0" xfId="0" applyFont="1" applyFill="1" applyBorder="1" applyAlignment="1" applyProtection="1">
      <alignment horizontal="right"/>
      <protection hidden="1"/>
    </xf>
    <xf numFmtId="0" fontId="89" fillId="0" borderId="0" xfId="0" applyFont="1" applyAlignment="1" applyProtection="1">
      <alignment/>
      <protection hidden="1"/>
    </xf>
    <xf numFmtId="0" fontId="89" fillId="0" borderId="0" xfId="0" applyFont="1" applyFill="1" applyBorder="1" applyAlignment="1" applyProtection="1">
      <alignment/>
      <protection hidden="1"/>
    </xf>
    <xf numFmtId="0" fontId="11" fillId="34" borderId="36" xfId="0" applyFont="1" applyFill="1" applyBorder="1" applyAlignment="1" applyProtection="1">
      <alignment horizontal="center" vertical="center" wrapText="1"/>
      <protection hidden="1"/>
    </xf>
    <xf numFmtId="0" fontId="11" fillId="34" borderId="39" xfId="0" applyFont="1" applyFill="1" applyBorder="1" applyAlignment="1" applyProtection="1">
      <alignment horizontal="center" vertical="center" wrapText="1"/>
      <protection hidden="1"/>
    </xf>
    <xf numFmtId="0" fontId="11" fillId="34" borderId="40" xfId="0" applyFont="1" applyFill="1" applyBorder="1" applyAlignment="1" applyProtection="1">
      <alignment horizontal="center" vertical="center" wrapText="1"/>
      <protection hidden="1"/>
    </xf>
    <xf numFmtId="0" fontId="11" fillId="34" borderId="20" xfId="0" applyFont="1" applyFill="1" applyBorder="1" applyAlignment="1" applyProtection="1">
      <alignment horizontal="center" vertical="center" wrapText="1"/>
      <protection hidden="1"/>
    </xf>
    <xf numFmtId="0" fontId="11" fillId="34" borderId="0" xfId="0" applyFont="1" applyFill="1" applyBorder="1" applyAlignment="1" applyProtection="1">
      <alignment horizontal="center" vertical="center" wrapText="1"/>
      <protection hidden="1"/>
    </xf>
    <xf numFmtId="0" fontId="11" fillId="34" borderId="34" xfId="0" applyFont="1" applyFill="1" applyBorder="1" applyAlignment="1" applyProtection="1">
      <alignment horizontal="center" vertical="center" wrapText="1"/>
      <protection hidden="1"/>
    </xf>
    <xf numFmtId="0" fontId="11" fillId="34" borderId="46" xfId="0" applyFont="1" applyFill="1" applyBorder="1" applyAlignment="1" applyProtection="1">
      <alignment horizontal="center" vertical="center" wrapText="1"/>
      <protection hidden="1"/>
    </xf>
    <xf numFmtId="0" fontId="11" fillId="34" borderId="47" xfId="0" applyFont="1" applyFill="1" applyBorder="1" applyAlignment="1" applyProtection="1">
      <alignment horizontal="center" vertical="center" wrapText="1"/>
      <protection hidden="1"/>
    </xf>
    <xf numFmtId="0" fontId="11" fillId="34" borderId="42" xfId="0" applyFont="1" applyFill="1" applyBorder="1" applyAlignment="1" applyProtection="1">
      <alignment horizontal="center" vertical="center" wrapText="1"/>
      <protection hidden="1"/>
    </xf>
    <xf numFmtId="2" fontId="0" fillId="35" borderId="18" xfId="0" applyNumberFormat="1" applyFill="1" applyBorder="1" applyAlignment="1" applyProtection="1">
      <alignment horizontal="center"/>
      <protection hidden="1"/>
    </xf>
    <xf numFmtId="2" fontId="0" fillId="35" borderId="66" xfId="0" applyNumberFormat="1" applyFill="1" applyBorder="1" applyAlignment="1" applyProtection="1">
      <alignment horizontal="center"/>
      <protection hidden="1"/>
    </xf>
    <xf numFmtId="0" fontId="17" fillId="34" borderId="75" xfId="0" applyFont="1" applyFill="1" applyBorder="1" applyAlignment="1" applyProtection="1">
      <alignment horizontal="center" vertical="center" wrapText="1"/>
      <protection hidden="1"/>
    </xf>
    <xf numFmtId="0" fontId="17" fillId="34" borderId="76" xfId="0" applyFont="1" applyFill="1" applyBorder="1" applyAlignment="1" applyProtection="1">
      <alignment horizontal="center" vertical="center" wrapText="1"/>
      <protection hidden="1"/>
    </xf>
    <xf numFmtId="0" fontId="4" fillId="34" borderId="77" xfId="0" applyFont="1" applyFill="1" applyBorder="1" applyAlignment="1" applyProtection="1">
      <alignment horizontal="center" vertical="center" wrapText="1"/>
      <protection hidden="1"/>
    </xf>
    <xf numFmtId="0" fontId="4" fillId="34" borderId="78" xfId="0" applyFont="1" applyFill="1" applyBorder="1" applyAlignment="1" applyProtection="1">
      <alignment horizontal="center" vertical="center" wrapText="1"/>
      <protection hidden="1"/>
    </xf>
    <xf numFmtId="0" fontId="17" fillId="34" borderId="72" xfId="0" applyFont="1" applyFill="1" applyBorder="1" applyAlignment="1" applyProtection="1">
      <alignment horizontal="center" vertical="center" wrapText="1"/>
      <protection hidden="1"/>
    </xf>
    <xf numFmtId="0" fontId="17" fillId="34" borderId="68" xfId="0" applyFont="1" applyFill="1" applyBorder="1" applyAlignment="1" applyProtection="1">
      <alignment horizontal="center" vertical="center" wrapText="1"/>
      <protection hidden="1"/>
    </xf>
    <xf numFmtId="0" fontId="0" fillId="34" borderId="75" xfId="0" applyFont="1" applyFill="1" applyBorder="1" applyAlignment="1" applyProtection="1">
      <alignment horizontal="center" vertical="center" wrapText="1"/>
      <protection hidden="1"/>
    </xf>
    <xf numFmtId="0" fontId="0" fillId="34" borderId="14" xfId="0" applyFont="1" applyFill="1" applyBorder="1" applyAlignment="1" applyProtection="1">
      <alignment horizontal="center" vertical="center" wrapText="1"/>
      <protection hidden="1"/>
    </xf>
    <xf numFmtId="0" fontId="0" fillId="34" borderId="72" xfId="0" applyFont="1" applyFill="1" applyBorder="1" applyAlignment="1" applyProtection="1">
      <alignment horizontal="center" vertical="center" wrapText="1"/>
      <protection hidden="1"/>
    </xf>
    <xf numFmtId="0" fontId="0" fillId="34" borderId="76" xfId="0" applyFont="1" applyFill="1" applyBorder="1" applyAlignment="1" applyProtection="1">
      <alignment horizontal="center" vertical="center" wrapText="1"/>
      <protection hidden="1"/>
    </xf>
    <xf numFmtId="0" fontId="0" fillId="34" borderId="12" xfId="0" applyFont="1" applyFill="1" applyBorder="1" applyAlignment="1" applyProtection="1">
      <alignment horizontal="center" vertical="center" wrapText="1"/>
      <protection hidden="1"/>
    </xf>
    <xf numFmtId="0" fontId="0" fillId="34" borderId="68" xfId="0" applyFont="1" applyFill="1" applyBorder="1" applyAlignment="1" applyProtection="1">
      <alignment horizontal="center" vertical="center" wrapText="1"/>
      <protection hidden="1"/>
    </xf>
    <xf numFmtId="0" fontId="0" fillId="34" borderId="18" xfId="0" applyFill="1" applyBorder="1" applyAlignment="1" applyProtection="1">
      <alignment horizontal="center" vertical="center"/>
      <protection hidden="1"/>
    </xf>
    <xf numFmtId="0" fontId="0" fillId="34" borderId="66" xfId="0" applyFill="1" applyBorder="1" applyAlignment="1" applyProtection="1">
      <alignment horizontal="center" vertical="center"/>
      <protection hidden="1"/>
    </xf>
    <xf numFmtId="2" fontId="0" fillId="35" borderId="16" xfId="0" applyNumberFormat="1" applyFill="1" applyBorder="1" applyAlignment="1" applyProtection="1">
      <alignment horizontal="center"/>
      <protection hidden="1"/>
    </xf>
    <xf numFmtId="2" fontId="0" fillId="35" borderId="17" xfId="0" applyNumberFormat="1" applyFill="1" applyBorder="1" applyAlignment="1" applyProtection="1">
      <alignment horizontal="center"/>
      <protection hidden="1"/>
    </xf>
    <xf numFmtId="1" fontId="0" fillId="35" borderId="16" xfId="0" applyNumberFormat="1" applyFill="1" applyBorder="1" applyAlignment="1" applyProtection="1">
      <alignment horizontal="center"/>
      <protection hidden="1"/>
    </xf>
    <xf numFmtId="1" fontId="0" fillId="35" borderId="17" xfId="0" applyNumberFormat="1" applyFill="1" applyBorder="1" applyAlignment="1" applyProtection="1">
      <alignment horizontal="center"/>
      <protection hidden="1"/>
    </xf>
    <xf numFmtId="0" fontId="4" fillId="34" borderId="75" xfId="0" applyFont="1" applyFill="1" applyBorder="1" applyAlignment="1" applyProtection="1">
      <alignment horizontal="center" wrapText="1"/>
      <protection hidden="1"/>
    </xf>
    <xf numFmtId="0" fontId="4" fillId="34" borderId="72" xfId="0" applyFont="1" applyFill="1" applyBorder="1" applyAlignment="1" applyProtection="1">
      <alignment horizontal="center" wrapText="1"/>
      <protection hidden="1"/>
    </xf>
    <xf numFmtId="0" fontId="4" fillId="34" borderId="76" xfId="0" applyFont="1" applyFill="1" applyBorder="1" applyAlignment="1" applyProtection="1">
      <alignment horizontal="center" wrapText="1"/>
      <protection hidden="1"/>
    </xf>
    <xf numFmtId="0" fontId="4" fillId="34" borderId="68" xfId="0" applyFont="1" applyFill="1" applyBorder="1" applyAlignment="1" applyProtection="1">
      <alignment horizontal="center" wrapText="1"/>
      <protection hidden="1"/>
    </xf>
    <xf numFmtId="0" fontId="0" fillId="0" borderId="11" xfId="0" applyFill="1" applyBorder="1" applyAlignment="1" applyProtection="1">
      <alignment horizontal="center"/>
      <protection locked="0"/>
    </xf>
    <xf numFmtId="1" fontId="0" fillId="0" borderId="18" xfId="0" applyNumberFormat="1" applyFill="1" applyBorder="1" applyAlignment="1" applyProtection="1">
      <alignment horizontal="center"/>
      <protection locked="0"/>
    </xf>
    <xf numFmtId="1" fontId="0" fillId="0" borderId="66" xfId="0" applyNumberFormat="1" applyFill="1" applyBorder="1" applyAlignment="1" applyProtection="1">
      <alignment horizontal="center"/>
      <protection locked="0"/>
    </xf>
    <xf numFmtId="0" fontId="1" fillId="33" borderId="0" xfId="0" applyFont="1" applyFill="1" applyAlignment="1" applyProtection="1">
      <alignment horizontal="center"/>
      <protection hidden="1"/>
    </xf>
    <xf numFmtId="0" fontId="3" fillId="33" borderId="12" xfId="0" applyFont="1" applyFill="1" applyBorder="1" applyAlignment="1" applyProtection="1">
      <alignment horizontal="center"/>
      <protection hidden="1"/>
    </xf>
    <xf numFmtId="0" fontId="4" fillId="34" borderId="18" xfId="0" applyFont="1" applyFill="1" applyBorder="1" applyAlignment="1" applyProtection="1">
      <alignment horizontal="center"/>
      <protection hidden="1"/>
    </xf>
    <xf numFmtId="0" fontId="4" fillId="34" borderId="13" xfId="0" applyFont="1" applyFill="1" applyBorder="1" applyAlignment="1" applyProtection="1">
      <alignment horizontal="center"/>
      <protection hidden="1"/>
    </xf>
    <xf numFmtId="0" fontId="4" fillId="34" borderId="66" xfId="0" applyFont="1" applyFill="1" applyBorder="1" applyAlignment="1" applyProtection="1">
      <alignment horizontal="center"/>
      <protection hidden="1"/>
    </xf>
    <xf numFmtId="0" fontId="6" fillId="34" borderId="20" xfId="0" applyFont="1" applyFill="1" applyBorder="1" applyAlignment="1" applyProtection="1">
      <alignment horizontal="center" vertical="center" wrapText="1"/>
      <protection hidden="1"/>
    </xf>
    <xf numFmtId="0" fontId="6" fillId="34" borderId="0" xfId="0" applyFont="1" applyFill="1" applyBorder="1" applyAlignment="1" applyProtection="1">
      <alignment horizontal="center" vertical="center" wrapText="1"/>
      <protection hidden="1"/>
    </xf>
    <xf numFmtId="0" fontId="6" fillId="34" borderId="34" xfId="0" applyFont="1" applyFill="1" applyBorder="1" applyAlignment="1" applyProtection="1">
      <alignment horizontal="center" vertical="center" wrapText="1"/>
      <protection hidden="1"/>
    </xf>
    <xf numFmtId="0" fontId="6" fillId="34" borderId="46" xfId="0" applyFont="1" applyFill="1" applyBorder="1" applyAlignment="1" applyProtection="1">
      <alignment horizontal="center" vertical="center" wrapText="1"/>
      <protection hidden="1"/>
    </xf>
    <xf numFmtId="0" fontId="6" fillId="34" borderId="47" xfId="0" applyFont="1" applyFill="1" applyBorder="1" applyAlignment="1" applyProtection="1">
      <alignment horizontal="center" vertical="center" wrapText="1"/>
      <protection hidden="1"/>
    </xf>
    <xf numFmtId="0" fontId="6" fillId="34" borderId="42" xfId="0" applyFont="1" applyFill="1" applyBorder="1" applyAlignment="1" applyProtection="1">
      <alignment horizontal="center" vertical="center" wrapText="1"/>
      <protection hidden="1"/>
    </xf>
    <xf numFmtId="0" fontId="4" fillId="34" borderId="11" xfId="0" applyFont="1" applyFill="1" applyBorder="1" applyAlignment="1" applyProtection="1">
      <alignment horizontal="center" wrapText="1"/>
      <protection hidden="1"/>
    </xf>
    <xf numFmtId="0" fontId="4" fillId="34" borderId="20" xfId="0" applyFont="1" applyFill="1" applyBorder="1" applyAlignment="1" applyProtection="1">
      <alignment horizontal="center" vertical="center" wrapText="1"/>
      <protection hidden="1"/>
    </xf>
    <xf numFmtId="0" fontId="4" fillId="34" borderId="0" xfId="0" applyFont="1" applyFill="1" applyBorder="1" applyAlignment="1" applyProtection="1">
      <alignment horizontal="center" vertical="center" wrapText="1"/>
      <protection hidden="1"/>
    </xf>
    <xf numFmtId="0" fontId="4" fillId="34" borderId="34" xfId="0" applyFont="1" applyFill="1" applyBorder="1" applyAlignment="1" applyProtection="1">
      <alignment horizontal="center" vertical="center" wrapText="1"/>
      <protection hidden="1"/>
    </xf>
    <xf numFmtId="0" fontId="0" fillId="34" borderId="11" xfId="0" applyFont="1" applyFill="1" applyBorder="1" applyAlignment="1" applyProtection="1">
      <alignment horizontal="center" wrapText="1"/>
      <protection hidden="1"/>
    </xf>
    <xf numFmtId="0" fontId="0" fillId="34" borderId="18" xfId="0" applyFont="1" applyFill="1" applyBorder="1" applyAlignment="1" applyProtection="1">
      <alignment horizontal="center" wrapText="1"/>
      <protection hidden="1"/>
    </xf>
    <xf numFmtId="0" fontId="0" fillId="34" borderId="13" xfId="0" applyFont="1" applyFill="1" applyBorder="1" applyAlignment="1" applyProtection="1">
      <alignment horizontal="center" wrapText="1"/>
      <protection hidden="1"/>
    </xf>
    <xf numFmtId="0" fontId="6" fillId="34" borderId="79" xfId="0" applyNumberFormat="1" applyFont="1" applyFill="1" applyBorder="1" applyAlignment="1" applyProtection="1">
      <alignment horizontal="center" vertical="center" wrapText="1"/>
      <protection hidden="1"/>
    </xf>
    <xf numFmtId="0" fontId="6" fillId="34" borderId="80" xfId="0" applyNumberFormat="1" applyFont="1" applyFill="1" applyBorder="1" applyAlignment="1" applyProtection="1">
      <alignment horizontal="center" vertical="center" wrapText="1"/>
      <protection hidden="1"/>
    </xf>
    <xf numFmtId="0" fontId="6" fillId="34" borderId="81" xfId="0" applyNumberFormat="1" applyFont="1" applyFill="1" applyBorder="1" applyAlignment="1" applyProtection="1">
      <alignment horizontal="center" vertical="center" wrapText="1"/>
      <protection hidden="1"/>
    </xf>
    <xf numFmtId="0" fontId="6" fillId="34" borderId="20" xfId="0" applyNumberFormat="1" applyFont="1" applyFill="1" applyBorder="1" applyAlignment="1" applyProtection="1">
      <alignment horizontal="center" vertical="center" wrapText="1"/>
      <protection hidden="1"/>
    </xf>
    <xf numFmtId="0" fontId="6" fillId="34" borderId="0" xfId="0" applyNumberFormat="1" applyFont="1" applyFill="1" applyBorder="1" applyAlignment="1" applyProtection="1">
      <alignment horizontal="center" vertical="center" wrapText="1"/>
      <protection hidden="1"/>
    </xf>
    <xf numFmtId="0" fontId="6" fillId="34" borderId="34" xfId="0" applyNumberFormat="1" applyFont="1" applyFill="1" applyBorder="1" applyAlignment="1" applyProtection="1">
      <alignment horizontal="center" vertical="center" wrapText="1"/>
      <protection hidden="1"/>
    </xf>
    <xf numFmtId="0" fontId="6" fillId="34" borderId="36" xfId="0" applyFont="1" applyFill="1" applyBorder="1" applyAlignment="1" applyProtection="1">
      <alignment horizontal="center" vertical="center" wrapText="1"/>
      <protection hidden="1"/>
    </xf>
    <xf numFmtId="0" fontId="6" fillId="34" borderId="39" xfId="0" applyFont="1" applyFill="1" applyBorder="1" applyAlignment="1" applyProtection="1">
      <alignment horizontal="center" vertical="center" wrapText="1"/>
      <protection hidden="1"/>
    </xf>
    <xf numFmtId="0" fontId="6" fillId="34" borderId="40" xfId="0" applyFont="1" applyFill="1" applyBorder="1" applyAlignment="1" applyProtection="1">
      <alignment horizontal="center" vertical="center" wrapText="1"/>
      <protection hidden="1"/>
    </xf>
    <xf numFmtId="0" fontId="7" fillId="34" borderId="20" xfId="42" applyFont="1" applyFill="1" applyBorder="1" applyAlignment="1" applyProtection="1">
      <alignment horizontal="center"/>
      <protection hidden="1"/>
    </xf>
    <xf numFmtId="0" fontId="7" fillId="34" borderId="0" xfId="42" applyFont="1" applyFill="1" applyBorder="1" applyAlignment="1" applyProtection="1">
      <alignment horizontal="center"/>
      <protection hidden="1"/>
    </xf>
    <xf numFmtId="0" fontId="7" fillId="34" borderId="34" xfId="42" applyFont="1" applyFill="1" applyBorder="1" applyAlignment="1" applyProtection="1">
      <alignment horizontal="center"/>
      <protection hidden="1"/>
    </xf>
    <xf numFmtId="0" fontId="9" fillId="34" borderId="20" xfId="0" applyFont="1" applyFill="1" applyBorder="1" applyAlignment="1" applyProtection="1">
      <alignment horizontal="center" vertical="center" wrapText="1"/>
      <protection hidden="1"/>
    </xf>
    <xf numFmtId="0" fontId="9" fillId="34" borderId="0" xfId="0" applyFont="1" applyFill="1" applyBorder="1" applyAlignment="1" applyProtection="1">
      <alignment horizontal="center" vertical="center" wrapText="1"/>
      <protection hidden="1"/>
    </xf>
    <xf numFmtId="0" fontId="9" fillId="34" borderId="34" xfId="0" applyFont="1" applyFill="1" applyBorder="1" applyAlignment="1" applyProtection="1">
      <alignment horizontal="center" vertical="center" wrapText="1"/>
      <protection hidden="1"/>
    </xf>
    <xf numFmtId="0" fontId="9" fillId="34" borderId="56" xfId="0" applyFont="1" applyFill="1" applyBorder="1" applyAlignment="1" applyProtection="1">
      <alignment horizontal="center" vertical="center" wrapText="1"/>
      <protection hidden="1"/>
    </xf>
    <xf numFmtId="0" fontId="9" fillId="34" borderId="62" xfId="0" applyFont="1" applyFill="1" applyBorder="1" applyAlignment="1" applyProtection="1">
      <alignment horizontal="center" vertical="center" wrapText="1"/>
      <protection hidden="1"/>
    </xf>
    <xf numFmtId="0" fontId="9" fillId="34" borderId="38" xfId="0" applyFont="1" applyFill="1" applyBorder="1" applyAlignment="1" applyProtection="1">
      <alignment horizontal="center" vertical="center" wrapText="1"/>
      <protection hidden="1"/>
    </xf>
    <xf numFmtId="0" fontId="0" fillId="34" borderId="18" xfId="0" applyFill="1" applyBorder="1" applyAlignment="1" applyProtection="1">
      <alignment horizontal="left"/>
      <protection hidden="1"/>
    </xf>
    <xf numFmtId="0" fontId="0" fillId="34" borderId="13" xfId="0" applyFill="1" applyBorder="1" applyAlignment="1" applyProtection="1">
      <alignment horizontal="left"/>
      <protection hidden="1"/>
    </xf>
    <xf numFmtId="0" fontId="0" fillId="33" borderId="0" xfId="0" applyFill="1" applyBorder="1" applyAlignment="1" applyProtection="1">
      <alignment horizontal="left"/>
      <protection hidden="1"/>
    </xf>
    <xf numFmtId="0" fontId="4" fillId="34" borderId="18" xfId="0" applyFont="1" applyFill="1" applyBorder="1" applyAlignment="1" applyProtection="1">
      <alignment horizontal="left"/>
      <protection hidden="1"/>
    </xf>
    <xf numFmtId="0" fontId="4" fillId="34" borderId="66" xfId="0" applyFont="1" applyFill="1" applyBorder="1" applyAlignment="1" applyProtection="1">
      <alignment horizontal="left"/>
      <protection hidden="1"/>
    </xf>
    <xf numFmtId="0" fontId="2" fillId="33" borderId="12" xfId="0" applyFont="1" applyFill="1" applyBorder="1" applyAlignment="1" applyProtection="1">
      <alignment horizontal="center"/>
      <protection hidden="1"/>
    </xf>
    <xf numFmtId="0" fontId="0" fillId="34" borderId="66" xfId="0" applyFont="1" applyFill="1" applyBorder="1" applyAlignment="1" applyProtection="1">
      <alignment horizontal="center" wrapText="1"/>
      <protection hidden="1"/>
    </xf>
    <xf numFmtId="0" fontId="0" fillId="34" borderId="16" xfId="0" applyFont="1" applyFill="1" applyBorder="1" applyAlignment="1" applyProtection="1">
      <alignment horizontal="center" wrapText="1"/>
      <protection hidden="1"/>
    </xf>
    <xf numFmtId="0" fontId="0" fillId="34" borderId="17" xfId="0" applyFont="1" applyFill="1" applyBorder="1" applyAlignment="1" applyProtection="1">
      <alignment horizontal="center" wrapText="1"/>
      <protection hidden="1"/>
    </xf>
    <xf numFmtId="0" fontId="0" fillId="34" borderId="18" xfId="0" applyFill="1" applyBorder="1" applyAlignment="1" applyProtection="1">
      <alignment horizontal="center"/>
      <protection hidden="1"/>
    </xf>
    <xf numFmtId="0" fontId="0" fillId="34" borderId="13" xfId="0" applyFill="1" applyBorder="1" applyAlignment="1" applyProtection="1">
      <alignment horizontal="center"/>
      <protection hidden="1"/>
    </xf>
    <xf numFmtId="0" fontId="0" fillId="34" borderId="66" xfId="0" applyFill="1" applyBorder="1" applyAlignment="1" applyProtection="1">
      <alignment horizontal="center"/>
      <protection hidden="1"/>
    </xf>
    <xf numFmtId="0" fontId="44" fillId="34" borderId="82" xfId="0" applyNumberFormat="1" applyFont="1" applyFill="1" applyBorder="1" applyAlignment="1" applyProtection="1">
      <alignment horizontal="center" vertical="center" wrapText="1"/>
      <protection hidden="1"/>
    </xf>
    <xf numFmtId="0" fontId="44" fillId="34" borderId="83" xfId="0" applyNumberFormat="1" applyFont="1" applyFill="1" applyBorder="1" applyAlignment="1" applyProtection="1">
      <alignment horizontal="center" vertical="center" wrapText="1"/>
      <protection hidden="1"/>
    </xf>
    <xf numFmtId="0" fontId="44" fillId="34" borderId="84" xfId="0" applyNumberFormat="1" applyFont="1" applyFill="1" applyBorder="1" applyAlignment="1" applyProtection="1">
      <alignment horizontal="center" vertical="center" wrapText="1"/>
      <protection hidden="1"/>
    </xf>
    <xf numFmtId="0" fontId="44" fillId="34" borderId="64" xfId="0" applyNumberFormat="1" applyFont="1" applyFill="1" applyBorder="1" applyAlignment="1" applyProtection="1">
      <alignment horizontal="center" vertical="center" wrapText="1"/>
      <protection hidden="1"/>
    </xf>
    <xf numFmtId="0" fontId="44" fillId="34" borderId="11" xfId="0" applyNumberFormat="1" applyFont="1" applyFill="1" applyBorder="1" applyAlignment="1" applyProtection="1">
      <alignment horizontal="center" vertical="center" wrapText="1"/>
      <protection hidden="1"/>
    </xf>
    <xf numFmtId="0" fontId="44" fillId="34" borderId="65" xfId="0" applyNumberFormat="1" applyFont="1" applyFill="1" applyBorder="1" applyAlignment="1" applyProtection="1">
      <alignment horizontal="center" vertical="center" wrapText="1"/>
      <protection hidden="1"/>
    </xf>
    <xf numFmtId="0" fontId="44" fillId="34" borderId="73" xfId="0" applyNumberFormat="1" applyFont="1" applyFill="1" applyBorder="1" applyAlignment="1" applyProtection="1">
      <alignment horizontal="center" vertical="center" wrapText="1"/>
      <protection hidden="1"/>
    </xf>
    <xf numFmtId="0" fontId="44" fillId="34" borderId="85" xfId="0" applyNumberFormat="1" applyFont="1" applyFill="1" applyBorder="1" applyAlignment="1" applyProtection="1">
      <alignment horizontal="center" vertical="center" wrapText="1"/>
      <protection hidden="1"/>
    </xf>
    <xf numFmtId="0" fontId="44" fillId="34" borderId="74" xfId="0" applyNumberFormat="1" applyFont="1" applyFill="1" applyBorder="1" applyAlignment="1" applyProtection="1">
      <alignment horizontal="center" vertical="center" wrapText="1"/>
      <protection hidden="1"/>
    </xf>
    <xf numFmtId="0" fontId="22" fillId="34" borderId="75" xfId="0" applyFont="1" applyFill="1" applyBorder="1" applyAlignment="1" applyProtection="1">
      <alignment horizontal="left" vertical="center" wrapText="1"/>
      <protection hidden="1"/>
    </xf>
    <xf numFmtId="0" fontId="22" fillId="34" borderId="14" xfId="0" applyFont="1" applyFill="1" applyBorder="1" applyAlignment="1" applyProtection="1">
      <alignment horizontal="left" vertical="center" wrapText="1"/>
      <protection hidden="1"/>
    </xf>
    <xf numFmtId="0" fontId="22" fillId="34" borderId="72" xfId="0" applyFont="1" applyFill="1" applyBorder="1" applyAlignment="1" applyProtection="1">
      <alignment horizontal="left" vertical="center" wrapText="1"/>
      <protection hidden="1"/>
    </xf>
    <xf numFmtId="0" fontId="22" fillId="34" borderId="76" xfId="0" applyFont="1" applyFill="1" applyBorder="1" applyAlignment="1" applyProtection="1">
      <alignment horizontal="left" vertical="center" wrapText="1"/>
      <protection hidden="1"/>
    </xf>
    <xf numFmtId="0" fontId="22" fillId="34" borderId="12" xfId="0" applyFont="1" applyFill="1" applyBorder="1" applyAlignment="1" applyProtection="1">
      <alignment horizontal="left" vertical="center" wrapText="1"/>
      <protection hidden="1"/>
    </xf>
    <xf numFmtId="0" fontId="22" fillId="34" borderId="6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center" vertical="center"/>
      <protection locked="0"/>
    </xf>
    <xf numFmtId="0" fontId="20" fillId="0" borderId="86"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protection locked="0"/>
    </xf>
    <xf numFmtId="0" fontId="19" fillId="34" borderId="16" xfId="0" applyFont="1" applyFill="1" applyBorder="1" applyAlignment="1" applyProtection="1">
      <alignment horizontal="center" vertical="center" wrapText="1"/>
      <protection hidden="1"/>
    </xf>
    <xf numFmtId="0" fontId="19" fillId="34" borderId="17" xfId="0" applyFont="1" applyFill="1" applyBorder="1" applyAlignment="1" applyProtection="1">
      <alignment horizontal="center" vertical="center" wrapText="1"/>
      <protection hidden="1"/>
    </xf>
    <xf numFmtId="0" fontId="4" fillId="34" borderId="18" xfId="0" applyFont="1" applyFill="1" applyBorder="1" applyAlignment="1" applyProtection="1">
      <alignment horizontal="center" vertical="center" wrapText="1"/>
      <protection hidden="1"/>
    </xf>
    <xf numFmtId="0" fontId="4" fillId="34" borderId="13" xfId="0" applyFont="1" applyFill="1" applyBorder="1" applyAlignment="1" applyProtection="1">
      <alignment horizontal="center" vertical="center" wrapText="1"/>
      <protection hidden="1"/>
    </xf>
    <xf numFmtId="0" fontId="4" fillId="34" borderId="66" xfId="0" applyFont="1" applyFill="1" applyBorder="1" applyAlignment="1" applyProtection="1">
      <alignment horizontal="center" vertical="center" wrapText="1"/>
      <protection hidden="1"/>
    </xf>
    <xf numFmtId="0" fontId="18" fillId="34" borderId="16" xfId="0" applyFont="1" applyFill="1" applyBorder="1" applyAlignment="1" applyProtection="1">
      <alignment horizontal="center" vertical="center" wrapText="1"/>
      <protection hidden="1"/>
    </xf>
    <xf numFmtId="0" fontId="18" fillId="34" borderId="17" xfId="0" applyFont="1" applyFill="1" applyBorder="1" applyAlignment="1" applyProtection="1">
      <alignment horizontal="center" vertical="center" wrapText="1"/>
      <protection hidden="1"/>
    </xf>
    <xf numFmtId="0" fontId="2" fillId="34" borderId="18" xfId="0" applyFont="1" applyFill="1" applyBorder="1" applyAlignment="1" applyProtection="1">
      <alignment horizontal="left" vertical="center" wrapText="1"/>
      <protection hidden="1"/>
    </xf>
    <xf numFmtId="0" fontId="2" fillId="34" borderId="13" xfId="0" applyFont="1" applyFill="1" applyBorder="1" applyAlignment="1" applyProtection="1">
      <alignment horizontal="left" vertical="center" wrapText="1"/>
      <protection hidden="1"/>
    </xf>
    <xf numFmtId="0" fontId="2" fillId="34" borderId="66" xfId="0" applyFont="1" applyFill="1" applyBorder="1" applyAlignment="1" applyProtection="1">
      <alignment horizontal="left" vertical="center" wrapText="1"/>
      <protection hidden="1"/>
    </xf>
    <xf numFmtId="0" fontId="19" fillId="34" borderId="11" xfId="0" applyFont="1" applyFill="1" applyBorder="1" applyAlignment="1" applyProtection="1">
      <alignment horizontal="center" vertical="center" wrapText="1"/>
      <protection hidden="1"/>
    </xf>
    <xf numFmtId="0" fontId="0" fillId="34" borderId="11" xfId="0" applyFill="1" applyBorder="1" applyAlignment="1" applyProtection="1">
      <alignment/>
      <protection hidden="1"/>
    </xf>
    <xf numFmtId="0" fontId="18" fillId="34" borderId="11" xfId="0" applyFont="1" applyFill="1" applyBorder="1" applyAlignment="1" applyProtection="1">
      <alignment horizontal="center" vertical="center" wrapText="1"/>
      <protection hidden="1"/>
    </xf>
    <xf numFmtId="0" fontId="4" fillId="34" borderId="14" xfId="0" applyFont="1" applyFill="1" applyBorder="1" applyAlignment="1" applyProtection="1">
      <alignment horizontal="center" wrapText="1"/>
      <protection hidden="1"/>
    </xf>
    <xf numFmtId="0" fontId="4" fillId="34" borderId="12" xfId="0" applyFont="1" applyFill="1" applyBorder="1" applyAlignment="1" applyProtection="1">
      <alignment horizontal="center" wrapText="1"/>
      <protection hidden="1"/>
    </xf>
    <xf numFmtId="0" fontId="45" fillId="34" borderId="18" xfId="0" applyFont="1" applyFill="1" applyBorder="1" applyAlignment="1" applyProtection="1">
      <alignment horizontal="center"/>
      <protection hidden="1"/>
    </xf>
    <xf numFmtId="0" fontId="45" fillId="34" borderId="13" xfId="0" applyFont="1" applyFill="1" applyBorder="1" applyAlignment="1" applyProtection="1">
      <alignment horizontal="center"/>
      <protection hidden="1"/>
    </xf>
    <xf numFmtId="0" fontId="45" fillId="34" borderId="66" xfId="0" applyFont="1" applyFill="1" applyBorder="1" applyAlignment="1" applyProtection="1">
      <alignment horizontal="center"/>
      <protection hidden="1"/>
    </xf>
    <xf numFmtId="0" fontId="45" fillId="34" borderId="18" xfId="0" applyFont="1" applyFill="1" applyBorder="1" applyAlignment="1" applyProtection="1">
      <alignment horizontal="center" vertical="center"/>
      <protection hidden="1"/>
    </xf>
    <xf numFmtId="0" fontId="45" fillId="34" borderId="13" xfId="0" applyFont="1" applyFill="1" applyBorder="1" applyAlignment="1" applyProtection="1">
      <alignment horizontal="center" vertical="center"/>
      <protection hidden="1"/>
    </xf>
    <xf numFmtId="0" fontId="45" fillId="34" borderId="66" xfId="0" applyFont="1" applyFill="1" applyBorder="1" applyAlignment="1" applyProtection="1">
      <alignment horizontal="center" vertical="center"/>
      <protection hidden="1"/>
    </xf>
    <xf numFmtId="0" fontId="46" fillId="33" borderId="0" xfId="0" applyFont="1" applyFill="1" applyAlignment="1" applyProtection="1">
      <alignment horizontal="center"/>
      <protection hidden="1"/>
    </xf>
    <xf numFmtId="0" fontId="15" fillId="34" borderId="20" xfId="0" applyFont="1" applyFill="1" applyBorder="1" applyAlignment="1" applyProtection="1">
      <alignment horizontal="center" vertical="center" wrapText="1"/>
      <protection hidden="1"/>
    </xf>
    <xf numFmtId="0" fontId="15" fillId="34" borderId="0" xfId="0" applyFont="1" applyFill="1" applyBorder="1" applyAlignment="1" applyProtection="1">
      <alignment horizontal="center" vertical="center" wrapText="1"/>
      <protection hidden="1"/>
    </xf>
    <xf numFmtId="0" fontId="15" fillId="34" borderId="34" xfId="0" applyFont="1" applyFill="1" applyBorder="1" applyAlignment="1" applyProtection="1">
      <alignment horizontal="center" vertical="center" wrapText="1"/>
      <protection hidden="1"/>
    </xf>
    <xf numFmtId="0" fontId="15" fillId="34" borderId="56" xfId="0" applyFont="1" applyFill="1" applyBorder="1" applyAlignment="1" applyProtection="1">
      <alignment horizontal="center" vertical="center" wrapText="1"/>
      <protection hidden="1"/>
    </xf>
    <xf numFmtId="0" fontId="15" fillId="34" borderId="62" xfId="0" applyFont="1" applyFill="1" applyBorder="1" applyAlignment="1" applyProtection="1">
      <alignment horizontal="center" vertical="center" wrapText="1"/>
      <protection hidden="1"/>
    </xf>
    <xf numFmtId="0" fontId="15" fillId="34" borderId="38" xfId="0" applyFont="1" applyFill="1" applyBorder="1" applyAlignment="1" applyProtection="1">
      <alignment horizontal="center" vertical="center" wrapText="1"/>
      <protection hidden="1"/>
    </xf>
    <xf numFmtId="0" fontId="11" fillId="34" borderId="79" xfId="0" applyNumberFormat="1" applyFont="1" applyFill="1" applyBorder="1" applyAlignment="1" applyProtection="1">
      <alignment horizontal="center" vertical="center" wrapText="1"/>
      <protection hidden="1"/>
    </xf>
    <xf numFmtId="0" fontId="11" fillId="34" borderId="80" xfId="0" applyNumberFormat="1" applyFont="1" applyFill="1" applyBorder="1" applyAlignment="1" applyProtection="1">
      <alignment horizontal="center" vertical="center" wrapText="1"/>
      <protection hidden="1"/>
    </xf>
    <xf numFmtId="0" fontId="11" fillId="34" borderId="81" xfId="0" applyNumberFormat="1" applyFont="1" applyFill="1" applyBorder="1" applyAlignment="1" applyProtection="1">
      <alignment horizontal="center" vertical="center" wrapText="1"/>
      <protection hidden="1"/>
    </xf>
    <xf numFmtId="0" fontId="11" fillId="34" borderId="20" xfId="0" applyNumberFormat="1" applyFont="1" applyFill="1" applyBorder="1" applyAlignment="1" applyProtection="1">
      <alignment horizontal="center" vertical="center" wrapText="1"/>
      <protection hidden="1"/>
    </xf>
    <xf numFmtId="0" fontId="11" fillId="34" borderId="0" xfId="0" applyNumberFormat="1" applyFont="1" applyFill="1" applyBorder="1" applyAlignment="1" applyProtection="1">
      <alignment horizontal="center" vertical="center" wrapText="1"/>
      <protection hidden="1"/>
    </xf>
    <xf numFmtId="0" fontId="11" fillId="34" borderId="34" xfId="0" applyNumberFormat="1" applyFont="1" applyFill="1" applyBorder="1" applyAlignment="1" applyProtection="1">
      <alignment horizontal="center" vertical="center" wrapText="1"/>
      <protection hidden="1"/>
    </xf>
    <xf numFmtId="0" fontId="17" fillId="34" borderId="82" xfId="0" applyFont="1" applyFill="1" applyBorder="1" applyAlignment="1" applyProtection="1">
      <alignment horizontal="center" vertical="center" wrapText="1"/>
      <protection hidden="1"/>
    </xf>
    <xf numFmtId="0" fontId="17" fillId="34" borderId="64" xfId="0" applyFont="1" applyFill="1" applyBorder="1" applyAlignment="1" applyProtection="1">
      <alignment horizontal="center" vertical="center" wrapText="1"/>
      <protection hidden="1"/>
    </xf>
    <xf numFmtId="0" fontId="18" fillId="34" borderId="87" xfId="0" applyFont="1" applyFill="1" applyBorder="1" applyAlignment="1" applyProtection="1">
      <alignment horizontal="center" vertical="center" wrapText="1"/>
      <protection hidden="1"/>
    </xf>
    <xf numFmtId="0" fontId="18" fillId="34" borderId="88" xfId="0" applyFont="1" applyFill="1" applyBorder="1" applyAlignment="1" applyProtection="1">
      <alignment horizontal="center" vertical="center" wrapText="1"/>
      <protection hidden="1"/>
    </xf>
    <xf numFmtId="0" fontId="18" fillId="34" borderId="64" xfId="0" applyFont="1" applyFill="1" applyBorder="1" applyAlignment="1" applyProtection="1">
      <alignment horizontal="center" vertical="center" wrapText="1"/>
      <protection hidden="1"/>
    </xf>
    <xf numFmtId="0" fontId="18" fillId="34" borderId="65" xfId="0" applyFont="1" applyFill="1" applyBorder="1" applyAlignment="1" applyProtection="1">
      <alignment horizontal="center" vertical="center" wrapText="1"/>
      <protection hidden="1"/>
    </xf>
    <xf numFmtId="49" fontId="0" fillId="34" borderId="11" xfId="0" applyNumberFormat="1" applyFill="1" applyBorder="1" applyAlignment="1" applyProtection="1">
      <alignment horizontal="center" vertical="center" textRotation="90" wrapText="1"/>
      <protection hidden="1"/>
    </xf>
    <xf numFmtId="0" fontId="17" fillId="34" borderId="84" xfId="0" applyFont="1" applyFill="1" applyBorder="1" applyAlignment="1" applyProtection="1">
      <alignment horizontal="center" vertical="center" wrapText="1"/>
      <protection hidden="1"/>
    </xf>
    <xf numFmtId="0" fontId="17" fillId="34" borderId="65" xfId="0" applyFont="1" applyFill="1" applyBorder="1" applyAlignment="1" applyProtection="1">
      <alignment horizontal="center" vertical="center" wrapText="1"/>
      <protection hidden="1"/>
    </xf>
    <xf numFmtId="0" fontId="4" fillId="34" borderId="36" xfId="0" applyFont="1" applyFill="1" applyBorder="1" applyAlignment="1" applyProtection="1">
      <alignment horizontal="center" vertical="center" wrapText="1"/>
      <protection hidden="1"/>
    </xf>
    <xf numFmtId="0" fontId="4" fillId="34" borderId="39" xfId="0" applyFont="1" applyFill="1" applyBorder="1" applyAlignment="1" applyProtection="1">
      <alignment horizontal="center" vertical="center" wrapText="1"/>
      <protection hidden="1"/>
    </xf>
    <xf numFmtId="0" fontId="4" fillId="34" borderId="46" xfId="0" applyFont="1" applyFill="1" applyBorder="1" applyAlignment="1" applyProtection="1">
      <alignment horizontal="center" vertical="center" wrapText="1"/>
      <protection hidden="1"/>
    </xf>
    <xf numFmtId="0" fontId="4" fillId="34" borderId="47" xfId="0" applyFont="1" applyFill="1" applyBorder="1" applyAlignment="1" applyProtection="1">
      <alignment horizontal="center" vertical="center" wrapText="1"/>
      <protection hidden="1"/>
    </xf>
    <xf numFmtId="0" fontId="4" fillId="34" borderId="40" xfId="0" applyFont="1" applyFill="1" applyBorder="1" applyAlignment="1" applyProtection="1">
      <alignment horizontal="center" vertical="center" wrapText="1"/>
      <protection hidden="1"/>
    </xf>
    <xf numFmtId="0" fontId="4" fillId="34" borderId="42" xfId="0" applyFont="1" applyFill="1" applyBorder="1" applyAlignment="1" applyProtection="1">
      <alignment horizontal="center" vertical="center" wrapText="1"/>
      <protection hidden="1"/>
    </xf>
    <xf numFmtId="0" fontId="16" fillId="34" borderId="36" xfId="0" applyFont="1" applyFill="1" applyBorder="1" applyAlignment="1" applyProtection="1">
      <alignment horizontal="center" vertical="center" wrapText="1"/>
      <protection hidden="1"/>
    </xf>
    <xf numFmtId="0" fontId="16" fillId="34" borderId="39" xfId="0" applyFont="1" applyFill="1" applyBorder="1" applyAlignment="1" applyProtection="1">
      <alignment horizontal="center" vertical="center" wrapText="1"/>
      <protection hidden="1"/>
    </xf>
    <xf numFmtId="0" fontId="16" fillId="34" borderId="40" xfId="0" applyFont="1" applyFill="1" applyBorder="1" applyAlignment="1" applyProtection="1">
      <alignment horizontal="center" vertical="center" wrapText="1"/>
      <protection hidden="1"/>
    </xf>
    <xf numFmtId="0" fontId="16" fillId="34" borderId="46" xfId="0" applyFont="1" applyFill="1" applyBorder="1" applyAlignment="1" applyProtection="1">
      <alignment horizontal="center" vertical="center" wrapText="1"/>
      <protection hidden="1"/>
    </xf>
    <xf numFmtId="0" fontId="16" fillId="34" borderId="47" xfId="0" applyFont="1" applyFill="1" applyBorder="1" applyAlignment="1" applyProtection="1">
      <alignment horizontal="center" vertical="center" wrapText="1"/>
      <protection hidden="1"/>
    </xf>
    <xf numFmtId="0" fontId="16" fillId="34" borderId="42" xfId="0" applyFont="1" applyFill="1" applyBorder="1" applyAlignment="1" applyProtection="1">
      <alignment horizontal="center" vertical="center" wrapText="1"/>
      <protection hidden="1"/>
    </xf>
    <xf numFmtId="49" fontId="0" fillId="34" borderId="64" xfId="0" applyNumberFormat="1" applyFill="1" applyBorder="1" applyAlignment="1" applyProtection="1">
      <alignment horizontal="center" vertical="center" textRotation="90" wrapText="1"/>
      <protection hidden="1"/>
    </xf>
    <xf numFmtId="2" fontId="18" fillId="34" borderId="86" xfId="0" applyNumberFormat="1" applyFont="1" applyFill="1" applyBorder="1" applyAlignment="1" applyProtection="1">
      <alignment horizontal="center" vertical="center" wrapText="1"/>
      <protection hidden="1"/>
    </xf>
    <xf numFmtId="2" fontId="18" fillId="34" borderId="17" xfId="0" applyNumberFormat="1" applyFont="1" applyFill="1" applyBorder="1" applyAlignment="1" applyProtection="1">
      <alignment horizontal="center" vertical="center" wrapText="1"/>
      <protection hidden="1"/>
    </xf>
    <xf numFmtId="2" fontId="2" fillId="34" borderId="86" xfId="0" applyNumberFormat="1" applyFont="1" applyFill="1" applyBorder="1" applyAlignment="1" applyProtection="1">
      <alignment horizontal="center" vertical="center" wrapText="1"/>
      <protection hidden="1"/>
    </xf>
    <xf numFmtId="2" fontId="2" fillId="34" borderId="17" xfId="0" applyNumberFormat="1" applyFont="1" applyFill="1" applyBorder="1" applyAlignment="1" applyProtection="1">
      <alignment horizontal="center" vertical="center" wrapText="1"/>
      <protection hidden="1"/>
    </xf>
    <xf numFmtId="2" fontId="2" fillId="34" borderId="10" xfId="0" applyNumberFormat="1" applyFont="1" applyFill="1" applyBorder="1" applyAlignment="1" applyProtection="1">
      <alignment horizontal="center" vertical="center" wrapText="1"/>
      <protection hidden="1"/>
    </xf>
    <xf numFmtId="2" fontId="2" fillId="34" borderId="76" xfId="0" applyNumberFormat="1" applyFont="1" applyFill="1" applyBorder="1" applyAlignment="1" applyProtection="1">
      <alignment horizontal="center" vertical="center" wrapText="1"/>
      <protection hidden="1"/>
    </xf>
    <xf numFmtId="49" fontId="0" fillId="34" borderId="65" xfId="0" applyNumberFormat="1" applyFill="1" applyBorder="1" applyAlignment="1" applyProtection="1">
      <alignment horizontal="center" vertical="center" textRotation="90" wrapText="1"/>
      <protection hidden="1"/>
    </xf>
    <xf numFmtId="0" fontId="17" fillId="34" borderId="89" xfId="0" applyFont="1" applyFill="1" applyBorder="1" applyAlignment="1" applyProtection="1">
      <alignment horizontal="center" vertical="center" wrapText="1"/>
      <protection hidden="1"/>
    </xf>
    <xf numFmtId="0" fontId="17" fillId="34" borderId="90" xfId="0" applyFont="1" applyFill="1" applyBorder="1" applyAlignment="1" applyProtection="1">
      <alignment horizontal="center" vertical="center" wrapText="1"/>
      <protection hidden="1"/>
    </xf>
    <xf numFmtId="0" fontId="17" fillId="34" borderId="87" xfId="0" applyFont="1" applyFill="1" applyBorder="1" applyAlignment="1" applyProtection="1">
      <alignment horizontal="center" vertical="center" wrapText="1"/>
      <protection hidden="1"/>
    </xf>
    <xf numFmtId="0" fontId="18" fillId="34" borderId="20" xfId="0" applyFont="1" applyFill="1" applyBorder="1" applyAlignment="1" applyProtection="1">
      <alignment horizontal="center" vertical="center" wrapText="1"/>
      <protection hidden="1"/>
    </xf>
    <xf numFmtId="0" fontId="18" fillId="34" borderId="0" xfId="0" applyFont="1" applyFill="1" applyBorder="1" applyAlignment="1" applyProtection="1">
      <alignment horizontal="center" vertical="center" wrapText="1"/>
      <protection hidden="1"/>
    </xf>
    <xf numFmtId="0" fontId="18" fillId="34" borderId="34" xfId="0" applyFont="1" applyFill="1" applyBorder="1" applyAlignment="1" applyProtection="1">
      <alignment horizontal="center" vertical="center" wrapText="1"/>
      <protection hidden="1"/>
    </xf>
    <xf numFmtId="0" fontId="39" fillId="34" borderId="11" xfId="0" applyFont="1" applyFill="1" applyBorder="1" applyAlignment="1" applyProtection="1">
      <alignment horizontal="left" vertical="center" wrapText="1"/>
      <protection hidden="1"/>
    </xf>
    <xf numFmtId="0" fontId="22" fillId="34" borderId="11" xfId="0" applyFont="1" applyFill="1" applyBorder="1" applyAlignment="1" applyProtection="1">
      <alignment horizontal="left" vertical="center" wrapText="1"/>
      <protection hidden="1"/>
    </xf>
    <xf numFmtId="0" fontId="45" fillId="34" borderId="18" xfId="0" applyFont="1" applyFill="1" applyBorder="1" applyAlignment="1" applyProtection="1">
      <alignment horizontal="center" vertical="center" wrapText="1"/>
      <protection hidden="1"/>
    </xf>
    <xf numFmtId="0" fontId="45" fillId="34" borderId="13" xfId="0" applyFont="1" applyFill="1" applyBorder="1" applyAlignment="1" applyProtection="1">
      <alignment horizontal="center" vertical="center" wrapText="1"/>
      <protection hidden="1"/>
    </xf>
    <xf numFmtId="0" fontId="45" fillId="34" borderId="66" xfId="0" applyFont="1" applyFill="1" applyBorder="1" applyAlignment="1" applyProtection="1">
      <alignment horizontal="center" vertical="center" wrapText="1"/>
      <protection hidden="1"/>
    </xf>
    <xf numFmtId="0" fontId="32" fillId="34" borderId="16" xfId="0" applyFont="1" applyFill="1" applyBorder="1" applyAlignment="1" applyProtection="1">
      <alignment horizontal="center" vertical="center" wrapText="1"/>
      <protection hidden="1"/>
    </xf>
    <xf numFmtId="0" fontId="32" fillId="34" borderId="17" xfId="0" applyFont="1" applyFill="1" applyBorder="1" applyAlignment="1" applyProtection="1">
      <alignment horizontal="center" vertical="center" wrapText="1"/>
      <protection hidden="1"/>
    </xf>
    <xf numFmtId="0" fontId="4" fillId="34" borderId="20" xfId="0" applyFont="1" applyFill="1" applyBorder="1" applyAlignment="1" applyProtection="1">
      <alignment horizontal="left"/>
      <protection hidden="1"/>
    </xf>
    <xf numFmtId="0" fontId="4" fillId="34" borderId="0" xfId="0" applyFont="1" applyFill="1" applyBorder="1" applyAlignment="1" applyProtection="1">
      <alignment horizontal="left"/>
      <protection hidden="1"/>
    </xf>
    <xf numFmtId="0" fontId="27" fillId="34" borderId="36" xfId="0" applyFont="1" applyFill="1" applyBorder="1" applyAlignment="1" applyProtection="1">
      <alignment horizontal="left" vertical="center" wrapText="1"/>
      <protection hidden="1"/>
    </xf>
    <xf numFmtId="0" fontId="27" fillId="34" borderId="39" xfId="0" applyFont="1" applyFill="1" applyBorder="1" applyAlignment="1" applyProtection="1">
      <alignment horizontal="left" vertical="center" wrapText="1"/>
      <protection hidden="1"/>
    </xf>
    <xf numFmtId="0" fontId="27" fillId="34" borderId="40" xfId="0" applyFont="1" applyFill="1" applyBorder="1" applyAlignment="1" applyProtection="1">
      <alignment horizontal="left" vertical="center" wrapText="1"/>
      <protection hidden="1"/>
    </xf>
    <xf numFmtId="0" fontId="0" fillId="34" borderId="0" xfId="0" applyFill="1" applyBorder="1" applyAlignment="1" applyProtection="1">
      <alignment horizontal="center" wrapText="1"/>
      <protection hidden="1"/>
    </xf>
    <xf numFmtId="0" fontId="0" fillId="34" borderId="34" xfId="0" applyFill="1" applyBorder="1" applyAlignment="1" applyProtection="1">
      <alignment horizontal="center" wrapText="1"/>
      <protection hidden="1"/>
    </xf>
    <xf numFmtId="0" fontId="22" fillId="33" borderId="39" xfId="0" applyFont="1" applyFill="1" applyBorder="1" applyAlignment="1" applyProtection="1">
      <alignment horizontal="center" wrapText="1"/>
      <protection hidden="1"/>
    </xf>
    <xf numFmtId="0" fontId="27" fillId="34" borderId="36" xfId="0" applyFont="1" applyFill="1" applyBorder="1" applyAlignment="1" applyProtection="1">
      <alignment horizontal="left"/>
      <protection hidden="1"/>
    </xf>
    <xf numFmtId="0" fontId="27" fillId="34" borderId="39" xfId="0" applyFont="1" applyFill="1" applyBorder="1" applyAlignment="1" applyProtection="1">
      <alignment horizontal="left"/>
      <protection hidden="1"/>
    </xf>
    <xf numFmtId="0" fontId="27" fillId="34" borderId="40" xfId="0" applyFont="1" applyFill="1" applyBorder="1" applyAlignment="1" applyProtection="1">
      <alignment horizontal="left"/>
      <protection hidden="1"/>
    </xf>
    <xf numFmtId="0" fontId="9" fillId="34" borderId="46" xfId="0" applyFont="1" applyFill="1" applyBorder="1" applyAlignment="1" applyProtection="1">
      <alignment horizontal="center" vertical="center" wrapText="1"/>
      <protection hidden="1"/>
    </xf>
    <xf numFmtId="0" fontId="9" fillId="34" borderId="47" xfId="0" applyFont="1" applyFill="1" applyBorder="1" applyAlignment="1" applyProtection="1">
      <alignment horizontal="center" vertical="center" wrapText="1"/>
      <protection hidden="1"/>
    </xf>
    <xf numFmtId="0" fontId="9" fillId="34" borderId="42" xfId="0" applyFont="1" applyFill="1" applyBorder="1" applyAlignment="1" applyProtection="1">
      <alignment horizontal="center" vertical="center" wrapText="1"/>
      <protection hidden="1"/>
    </xf>
    <xf numFmtId="0" fontId="17" fillId="34" borderId="0" xfId="0" applyFont="1" applyFill="1" applyBorder="1" applyAlignment="1" applyProtection="1">
      <alignment horizontal="center" wrapText="1"/>
      <protection hidden="1"/>
    </xf>
    <xf numFmtId="0" fontId="0" fillId="0" borderId="11" xfId="0" applyFill="1" applyBorder="1" applyAlignment="1" applyProtection="1">
      <alignment horizontal="center" wrapText="1"/>
      <protection locked="0"/>
    </xf>
    <xf numFmtId="0" fontId="18"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wrapText="1"/>
      <protection hidden="1"/>
    </xf>
    <xf numFmtId="0" fontId="30" fillId="33" borderId="47"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0" fontId="40" fillId="0" borderId="63" xfId="0" applyFont="1" applyFill="1" applyBorder="1" applyAlignment="1" applyProtection="1">
      <alignment horizontal="center"/>
      <protection locked="0"/>
    </xf>
    <xf numFmtId="0" fontId="40" fillId="0" borderId="33" xfId="0" applyFont="1" applyFill="1" applyBorder="1" applyAlignment="1" applyProtection="1">
      <alignment horizontal="center"/>
      <protection locked="0"/>
    </xf>
    <xf numFmtId="0" fontId="40" fillId="0" borderId="91" xfId="0" applyFont="1" applyFill="1" applyBorder="1" applyAlignment="1" applyProtection="1">
      <alignment horizontal="center"/>
      <protection locked="0"/>
    </xf>
    <xf numFmtId="0" fontId="40" fillId="0" borderId="92" xfId="0" applyFont="1" applyFill="1" applyBorder="1" applyAlignment="1" applyProtection="1">
      <alignment horizontal="center"/>
      <protection locked="0"/>
    </xf>
    <xf numFmtId="0" fontId="44" fillId="33" borderId="0" xfId="0" applyFont="1" applyFill="1" applyAlignment="1" applyProtection="1">
      <alignment horizontal="center" vertical="center" wrapText="1"/>
      <protection hidden="1"/>
    </xf>
    <xf numFmtId="0" fontId="0" fillId="37" borderId="18" xfId="0" applyFill="1" applyBorder="1" applyAlignment="1" applyProtection="1">
      <alignment horizontal="center"/>
      <protection locked="0"/>
    </xf>
    <xf numFmtId="0" fontId="0" fillId="37" borderId="66" xfId="0" applyFill="1" applyBorder="1" applyAlignment="1" applyProtection="1">
      <alignment horizontal="center"/>
      <protection locked="0"/>
    </xf>
    <xf numFmtId="0" fontId="40" fillId="0" borderId="62" xfId="0" applyFont="1" applyFill="1" applyBorder="1" applyAlignment="1" applyProtection="1">
      <alignment horizontal="center"/>
      <protection locked="0"/>
    </xf>
    <xf numFmtId="0" fontId="40" fillId="0" borderId="38" xfId="0" applyFont="1" applyFill="1" applyBorder="1" applyAlignment="1" applyProtection="1">
      <alignment horizontal="center"/>
      <protection locked="0"/>
    </xf>
    <xf numFmtId="0" fontId="35" fillId="33" borderId="36" xfId="0" applyFont="1" applyFill="1" applyBorder="1" applyAlignment="1" applyProtection="1">
      <alignment horizontal="left"/>
      <protection hidden="1"/>
    </xf>
    <xf numFmtId="0" fontId="35" fillId="33" borderId="39" xfId="0" applyFont="1" applyFill="1" applyBorder="1" applyAlignment="1" applyProtection="1">
      <alignment horizontal="left"/>
      <protection hidden="1"/>
    </xf>
    <xf numFmtId="0" fontId="35" fillId="33" borderId="40" xfId="0" applyFont="1" applyFill="1" applyBorder="1" applyAlignment="1" applyProtection="1">
      <alignment horizontal="left"/>
      <protection hidden="1"/>
    </xf>
    <xf numFmtId="0" fontId="43" fillId="33" borderId="0" xfId="0" applyFont="1" applyFill="1" applyAlignment="1" applyProtection="1">
      <alignment horizontal="left"/>
      <protection hidden="1"/>
    </xf>
    <xf numFmtId="0" fontId="4" fillId="34" borderId="39" xfId="0" applyFont="1" applyFill="1" applyBorder="1" applyAlignment="1" applyProtection="1">
      <alignment horizontal="left"/>
      <protection hidden="1"/>
    </xf>
    <xf numFmtId="0" fontId="39" fillId="34" borderId="0" xfId="0" applyFont="1" applyFill="1" applyBorder="1" applyAlignment="1" applyProtection="1">
      <alignment horizontal="left" vertical="center" wrapText="1"/>
      <protection hidden="1"/>
    </xf>
    <xf numFmtId="0" fontId="18" fillId="34" borderId="54" xfId="0" applyFont="1" applyFill="1" applyBorder="1" applyAlignment="1" applyProtection="1">
      <alignment horizontal="left"/>
      <protection hidden="1"/>
    </xf>
    <xf numFmtId="0" fontId="18" fillId="34" borderId="63" xfId="0" applyFont="1" applyFill="1" applyBorder="1" applyAlignment="1" applyProtection="1">
      <alignment horizontal="left"/>
      <protection hidden="1"/>
    </xf>
    <xf numFmtId="0" fontId="39" fillId="34" borderId="20" xfId="0" applyFont="1" applyFill="1" applyBorder="1" applyAlignment="1" applyProtection="1">
      <alignment horizontal="left" vertical="center" wrapText="1"/>
      <protection hidden="1"/>
    </xf>
    <xf numFmtId="0" fontId="18" fillId="34" borderId="56" xfId="0" applyFont="1" applyFill="1" applyBorder="1" applyAlignment="1" applyProtection="1">
      <alignment horizontal="left"/>
      <protection hidden="1"/>
    </xf>
    <xf numFmtId="0" fontId="18" fillId="34" borderId="62" xfId="0" applyFont="1" applyFill="1" applyBorder="1" applyAlignment="1" applyProtection="1">
      <alignment horizontal="left"/>
      <protection hidden="1"/>
    </xf>
    <xf numFmtId="0" fontId="1" fillId="33" borderId="0" xfId="0" applyFont="1" applyFill="1" applyAlignment="1" applyProtection="1">
      <alignment horizontal="left"/>
      <protection hidden="1"/>
    </xf>
    <xf numFmtId="0" fontId="89" fillId="41" borderId="0" xfId="0" applyFont="1" applyFill="1" applyBorder="1" applyAlignment="1" applyProtection="1">
      <alignment horizontal="center"/>
      <protection hidden="1"/>
    </xf>
    <xf numFmtId="0" fontId="18" fillId="34" borderId="79" xfId="0" applyFont="1" applyFill="1" applyBorder="1" applyAlignment="1" applyProtection="1">
      <alignment horizontal="left"/>
      <protection hidden="1"/>
    </xf>
    <xf numFmtId="0" fontId="18" fillId="34" borderId="0" xfId="0" applyFont="1" applyFill="1" applyBorder="1" applyAlignment="1" applyProtection="1">
      <alignment horizontal="left"/>
      <protection hidden="1"/>
    </xf>
    <xf numFmtId="0" fontId="36" fillId="0" borderId="39" xfId="0" applyFont="1" applyBorder="1" applyAlignment="1" applyProtection="1">
      <alignment/>
      <protection hidden="1"/>
    </xf>
    <xf numFmtId="0" fontId="36" fillId="0" borderId="40" xfId="0" applyFont="1" applyBorder="1" applyAlignment="1" applyProtection="1">
      <alignment/>
      <protection hidden="1"/>
    </xf>
    <xf numFmtId="0" fontId="18" fillId="34" borderId="56" xfId="0" applyFont="1" applyFill="1" applyBorder="1" applyAlignment="1" applyProtection="1">
      <alignment horizontal="center" vertical="center" wrapText="1"/>
      <protection hidden="1"/>
    </xf>
    <xf numFmtId="0" fontId="18" fillId="34" borderId="62" xfId="0" applyFont="1" applyFill="1" applyBorder="1" applyAlignment="1" applyProtection="1">
      <alignment horizontal="center" vertical="center" wrapText="1"/>
      <protection hidden="1"/>
    </xf>
    <xf numFmtId="0" fontId="18" fillId="34" borderId="38" xfId="0" applyFont="1" applyFill="1" applyBorder="1" applyAlignment="1" applyProtection="1">
      <alignment horizontal="center" vertical="center" wrapText="1"/>
      <protection hidden="1"/>
    </xf>
    <xf numFmtId="0" fontId="90" fillId="41" borderId="0" xfId="0" applyFont="1" applyFill="1" applyBorder="1" applyAlignment="1" applyProtection="1">
      <alignment horizontal="center"/>
      <protection hidden="1"/>
    </xf>
    <xf numFmtId="0" fontId="0" fillId="0" borderId="9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63"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18" fillId="34" borderId="18" xfId="0" applyFont="1" applyFill="1" applyBorder="1" applyAlignment="1" applyProtection="1">
      <alignment horizontal="center"/>
      <protection hidden="1"/>
    </xf>
    <xf numFmtId="0" fontId="18" fillId="34" borderId="66" xfId="0" applyFont="1" applyFill="1" applyBorder="1" applyAlignment="1" applyProtection="1">
      <alignment horizontal="center"/>
      <protection hidden="1"/>
    </xf>
    <xf numFmtId="0" fontId="17" fillId="34" borderId="18" xfId="0" applyFont="1" applyFill="1" applyBorder="1" applyAlignment="1" applyProtection="1">
      <alignment horizontal="center"/>
      <protection hidden="1"/>
    </xf>
    <xf numFmtId="0" fontId="17" fillId="34" borderId="66" xfId="0" applyFont="1" applyFill="1" applyBorder="1" applyAlignment="1" applyProtection="1">
      <alignment horizontal="center"/>
      <protection hidden="1"/>
    </xf>
    <xf numFmtId="0" fontId="1" fillId="33" borderId="14" xfId="0" applyFont="1" applyFill="1" applyBorder="1" applyAlignment="1">
      <alignment horizontal="right"/>
    </xf>
    <xf numFmtId="0" fontId="26" fillId="33" borderId="0" xfId="42" applyFont="1" applyFill="1" applyBorder="1" applyAlignment="1" applyProtection="1">
      <alignment horizontal="left" vertical="center"/>
      <protection/>
    </xf>
    <xf numFmtId="0" fontId="17" fillId="0" borderId="11" xfId="0" applyFont="1" applyBorder="1" applyAlignment="1">
      <alignment horizontal="center" vertical="center"/>
    </xf>
    <xf numFmtId="0" fontId="9" fillId="34" borderId="20"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9" fillId="34" borderId="46" xfId="0" applyFont="1" applyFill="1" applyBorder="1" applyAlignment="1">
      <alignment horizontal="center" vertical="center" wrapText="1"/>
    </xf>
    <xf numFmtId="0" fontId="9" fillId="34" borderId="47"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46" xfId="0" applyFont="1" applyFill="1" applyBorder="1" applyAlignment="1">
      <alignment horizontal="center" vertical="center" wrapText="1"/>
    </xf>
    <xf numFmtId="0" fontId="11" fillId="34" borderId="47" xfId="0" applyFont="1" applyFill="1" applyBorder="1" applyAlignment="1">
      <alignment horizontal="center" vertical="center" wrapText="1"/>
    </xf>
    <xf numFmtId="0" fontId="11" fillId="34" borderId="42" xfId="0" applyFont="1" applyFill="1" applyBorder="1" applyAlignment="1">
      <alignment horizontal="center" vertical="center" wrapText="1"/>
    </xf>
    <xf numFmtId="0" fontId="17" fillId="0" borderId="17" xfId="0" applyFont="1" applyBorder="1" applyAlignment="1">
      <alignment horizontal="center" vertical="center"/>
    </xf>
    <xf numFmtId="0" fontId="11" fillId="34" borderId="79" xfId="0" applyNumberFormat="1" applyFont="1" applyFill="1" applyBorder="1" applyAlignment="1">
      <alignment horizontal="center" vertical="center" wrapText="1"/>
    </xf>
    <xf numFmtId="0" fontId="11" fillId="34" borderId="80" xfId="0" applyNumberFormat="1" applyFont="1" applyFill="1" applyBorder="1" applyAlignment="1">
      <alignment horizontal="center" vertical="center" wrapText="1"/>
    </xf>
    <xf numFmtId="0" fontId="11" fillId="34" borderId="81" xfId="0" applyNumberFormat="1" applyFont="1" applyFill="1" applyBorder="1" applyAlignment="1">
      <alignment horizontal="center" vertical="center" wrapText="1"/>
    </xf>
    <xf numFmtId="0" fontId="11" fillId="34" borderId="20" xfId="0" applyNumberFormat="1" applyFont="1" applyFill="1" applyBorder="1" applyAlignment="1">
      <alignment horizontal="center" vertical="center" wrapText="1"/>
    </xf>
    <xf numFmtId="0" fontId="11" fillId="34" borderId="0" xfId="0" applyNumberFormat="1" applyFont="1" applyFill="1" applyBorder="1" applyAlignment="1">
      <alignment horizontal="center" vertical="center" wrapText="1"/>
    </xf>
    <xf numFmtId="0" fontId="11" fillId="34" borderId="34" xfId="0" applyNumberFormat="1"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18" fillId="34" borderId="34" xfId="0" applyFont="1" applyFill="1" applyBorder="1" applyAlignment="1">
      <alignment horizontal="center" vertical="center" wrapText="1"/>
    </xf>
    <xf numFmtId="0" fontId="17" fillId="0" borderId="16" xfId="0" applyFont="1" applyBorder="1" applyAlignment="1">
      <alignment horizontal="center" vertical="center"/>
    </xf>
    <xf numFmtId="0" fontId="4" fillId="34" borderId="18"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66"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7" fillId="34" borderId="20" xfId="42" applyFont="1" applyFill="1" applyBorder="1" applyAlignment="1" applyProtection="1">
      <alignment horizontal="center"/>
      <protection/>
    </xf>
    <xf numFmtId="0" fontId="7" fillId="34" borderId="0" xfId="42" applyFont="1" applyFill="1" applyBorder="1" applyAlignment="1" applyProtection="1">
      <alignment horizontal="center"/>
      <protection/>
    </xf>
    <xf numFmtId="0" fontId="7" fillId="34" borderId="34" xfId="42" applyFont="1" applyFill="1" applyBorder="1" applyAlignment="1" applyProtection="1">
      <alignment horizontal="center"/>
      <protection/>
    </xf>
    <xf numFmtId="0" fontId="15" fillId="34" borderId="2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34" xfId="0" applyFont="1" applyFill="1" applyBorder="1" applyAlignment="1">
      <alignment horizontal="center" vertical="center" wrapText="1"/>
    </xf>
    <xf numFmtId="0" fontId="15" fillId="34" borderId="56" xfId="0" applyFont="1" applyFill="1" applyBorder="1" applyAlignment="1">
      <alignment horizontal="center" vertical="center" wrapText="1"/>
    </xf>
    <xf numFmtId="0" fontId="15" fillId="34" borderId="62" xfId="0" applyFont="1" applyFill="1" applyBorder="1" applyAlignment="1">
      <alignment horizontal="center" vertical="center" wrapText="1"/>
    </xf>
    <xf numFmtId="0" fontId="15" fillId="34" borderId="38"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m-twiser.clan.su/"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tim-twiser.clan.su/"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tim-twiser.clan.su/" TargetMode="External" /><Relationship Id="rId2" Type="http://schemas.openxmlformats.org/officeDocument/2006/relationships/comments" Target="../comments3.xml" /><Relationship Id="rId3"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hyperlink" Target="http://tim-twiser.clan.su/"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archaos.ru/book/0" TargetMode="External" /><Relationship Id="rId2" Type="http://schemas.openxmlformats.org/officeDocument/2006/relationships/hyperlink" Target="http://tim-twiser.clan.su/" TargetMode="External" /><Relationship Id="rId3" Type="http://schemas.openxmlformats.org/officeDocument/2006/relationships/comments" Target="../comments5.xml" /><Relationship Id="rId4"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CV91"/>
  <sheetViews>
    <sheetView zoomScalePageLayoutView="0" workbookViewId="0" topLeftCell="A81">
      <selection activeCell="K77" sqref="K77"/>
    </sheetView>
  </sheetViews>
  <sheetFormatPr defaultColWidth="9.140625" defaultRowHeight="12.75"/>
  <cols>
    <col min="1" max="1" width="12.7109375" style="65" customWidth="1"/>
    <col min="2" max="2" width="9.140625" style="65" customWidth="1"/>
    <col min="3" max="3" width="8.421875" style="65" customWidth="1"/>
    <col min="4" max="4" width="8.140625" style="65" customWidth="1"/>
    <col min="5" max="5" width="12.140625" style="65" customWidth="1"/>
    <col min="6" max="6" width="9.140625" style="65" customWidth="1"/>
    <col min="7" max="7" width="6.8515625" style="65" customWidth="1"/>
    <col min="8" max="8" width="9.140625" style="65" customWidth="1"/>
    <col min="9" max="9" width="4.421875" style="65" customWidth="1"/>
    <col min="10" max="10" width="10.57421875" style="65" customWidth="1"/>
    <col min="11" max="11" width="8.00390625" style="65" customWidth="1"/>
    <col min="12" max="12" width="9.8515625" style="306" customWidth="1"/>
    <col min="13" max="13" width="9.140625" style="65" customWidth="1"/>
    <col min="14" max="14" width="8.28125" style="260" customWidth="1"/>
    <col min="15" max="15" width="12.57421875" style="260" customWidth="1"/>
    <col min="16" max="16" width="15.421875" style="260" customWidth="1"/>
    <col min="17" max="17" width="11.8515625" style="260" customWidth="1"/>
    <col min="18" max="18" width="8.57421875" style="260" customWidth="1"/>
    <col min="19" max="19" width="14.421875" style="260" customWidth="1"/>
    <col min="20" max="100" width="9.140625" style="260" customWidth="1"/>
    <col min="101" max="16384" width="9.140625" style="65" customWidth="1"/>
  </cols>
  <sheetData>
    <row r="1" spans="1:92" s="261" customFormat="1" ht="15.75" customHeight="1">
      <c r="A1" s="422" t="s">
        <v>301</v>
      </c>
      <c r="B1" s="422"/>
      <c r="C1" s="422"/>
      <c r="D1" s="422"/>
      <c r="E1" s="422"/>
      <c r="F1" s="422"/>
      <c r="G1" s="422"/>
      <c r="H1" s="422"/>
      <c r="I1" s="422"/>
      <c r="J1" s="422"/>
      <c r="K1" s="422"/>
      <c r="L1" s="422"/>
      <c r="M1" s="422"/>
      <c r="N1" s="259"/>
      <c r="O1" s="62"/>
      <c r="P1" s="62"/>
      <c r="Q1" s="62"/>
      <c r="R1" s="62"/>
      <c r="S1" s="463" t="s">
        <v>0</v>
      </c>
      <c r="T1" s="463"/>
      <c r="U1" s="463"/>
      <c r="V1" s="463"/>
      <c r="W1" s="71"/>
      <c r="X1" s="71"/>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row>
    <row r="2" spans="1:100" ht="27.75" customHeight="1" thickBot="1">
      <c r="A2" s="423" t="s">
        <v>1</v>
      </c>
      <c r="B2" s="423"/>
      <c r="C2" s="262" t="s">
        <v>2</v>
      </c>
      <c r="D2" s="195">
        <f>SUM(B4*70)</f>
        <v>8400</v>
      </c>
      <c r="E2" s="263"/>
      <c r="F2" s="71"/>
      <c r="G2" s="71"/>
      <c r="H2" s="71"/>
      <c r="I2" s="71"/>
      <c r="J2" s="71"/>
      <c r="K2" s="71"/>
      <c r="L2" s="264"/>
      <c r="M2" s="71"/>
      <c r="N2" s="71"/>
      <c r="O2" s="71"/>
      <c r="P2" s="71"/>
      <c r="Q2" s="71"/>
      <c r="R2" s="71"/>
      <c r="S2" s="458" t="s">
        <v>3</v>
      </c>
      <c r="T2" s="459"/>
      <c r="U2" s="266">
        <f>SUM(P4,K19,K34,K49,K64+K79)</f>
        <v>330</v>
      </c>
      <c r="V2" s="267" t="s">
        <v>4</v>
      </c>
      <c r="W2" s="71"/>
      <c r="X2" s="71"/>
      <c r="CO2" s="65"/>
      <c r="CP2" s="65"/>
      <c r="CQ2" s="65"/>
      <c r="CR2" s="65"/>
      <c r="CS2" s="65"/>
      <c r="CT2" s="65"/>
      <c r="CU2" s="65"/>
      <c r="CV2" s="65"/>
    </row>
    <row r="3" spans="1:100" ht="26.25" customHeight="1">
      <c r="A3" s="268" t="s">
        <v>5</v>
      </c>
      <c r="B3" s="268" t="s">
        <v>6</v>
      </c>
      <c r="C3" s="269"/>
      <c r="D3" s="270"/>
      <c r="E3" s="262" t="s">
        <v>7</v>
      </c>
      <c r="F3" s="262" t="s">
        <v>8</v>
      </c>
      <c r="G3" s="437" t="s">
        <v>9</v>
      </c>
      <c r="H3" s="437"/>
      <c r="I3" s="438" t="s">
        <v>10</v>
      </c>
      <c r="J3" s="439"/>
      <c r="K3" s="437" t="s">
        <v>11</v>
      </c>
      <c r="L3" s="437"/>
      <c r="M3" s="271" t="s">
        <v>12</v>
      </c>
      <c r="N3" s="71"/>
      <c r="O3" s="272" t="s">
        <v>230</v>
      </c>
      <c r="P3" s="273" t="s">
        <v>11</v>
      </c>
      <c r="Q3" s="274" t="s">
        <v>231</v>
      </c>
      <c r="R3" s="71"/>
      <c r="S3" s="458" t="s">
        <v>13</v>
      </c>
      <c r="T3" s="459"/>
      <c r="U3" s="266">
        <f>SUM(P5+K20+K35+K50+K65+K80)</f>
        <v>59.03287257434445</v>
      </c>
      <c r="V3" s="267" t="s">
        <v>14</v>
      </c>
      <c r="W3" s="71"/>
      <c r="X3" s="71"/>
      <c r="CM3" s="65"/>
      <c r="CN3" s="65"/>
      <c r="CO3" s="65"/>
      <c r="CP3" s="65"/>
      <c r="CQ3" s="65"/>
      <c r="CR3" s="65"/>
      <c r="CS3" s="65"/>
      <c r="CT3" s="65"/>
      <c r="CU3" s="65"/>
      <c r="CV3" s="65"/>
    </row>
    <row r="4" spans="1:100" ht="12.75">
      <c r="A4" s="275" t="s">
        <v>15</v>
      </c>
      <c r="B4" s="307">
        <v>120</v>
      </c>
      <c r="C4" s="62"/>
      <c r="D4" s="276" t="s">
        <v>16</v>
      </c>
      <c r="E4" s="277">
        <f>SUM(120*8/(8+B5))</f>
        <v>23.414634146341463</v>
      </c>
      <c r="F4" s="278"/>
      <c r="G4" s="279">
        <f>SUM(E4)</f>
        <v>23.414634146341463</v>
      </c>
      <c r="H4" s="280" t="s">
        <v>17</v>
      </c>
      <c r="I4" s="420">
        <v>4</v>
      </c>
      <c r="J4" s="421"/>
      <c r="K4" s="395">
        <f>SUM(1440/G4)*I4</f>
        <v>246</v>
      </c>
      <c r="L4" s="396"/>
      <c r="M4" s="281">
        <v>1</v>
      </c>
      <c r="N4" s="71"/>
      <c r="O4" s="282">
        <f>SUM(1440/(120*8/(8+B5-1)))*I4</f>
        <v>240</v>
      </c>
      <c r="P4" s="282">
        <f>SUM(1440/G4)*I4</f>
        <v>246</v>
      </c>
      <c r="Q4" s="283">
        <f>SUM(1440/(120*8/(8+B5+1)))*I4</f>
        <v>252</v>
      </c>
      <c r="R4" s="71"/>
      <c r="S4" s="458" t="s">
        <v>18</v>
      </c>
      <c r="T4" s="459"/>
      <c r="U4" s="266">
        <f>SUM(P6+K21+K36+K51+K66+K81)</f>
        <v>18.899999997637497</v>
      </c>
      <c r="V4" s="267" t="s">
        <v>19</v>
      </c>
      <c r="W4" s="71"/>
      <c r="X4" s="71"/>
      <c r="CM4" s="65"/>
      <c r="CN4" s="65"/>
      <c r="CO4" s="65"/>
      <c r="CP4" s="65"/>
      <c r="CQ4" s="65"/>
      <c r="CR4" s="65"/>
      <c r="CS4" s="65"/>
      <c r="CT4" s="65"/>
      <c r="CU4" s="65"/>
      <c r="CV4" s="65"/>
    </row>
    <row r="5" spans="1:100" ht="12.75">
      <c r="A5" s="275" t="s">
        <v>20</v>
      </c>
      <c r="B5" s="308">
        <v>33</v>
      </c>
      <c r="C5" s="62"/>
      <c r="D5" s="276" t="s">
        <v>21</v>
      </c>
      <c r="E5" s="277">
        <f>SUM(119.466*8/(8+B5))</f>
        <v>23.31043902439024</v>
      </c>
      <c r="F5" s="284">
        <f>SUM(89.6*8/(8+B6))</f>
        <v>17.919999999999998</v>
      </c>
      <c r="G5" s="279">
        <f>SUM(E5+F5)</f>
        <v>41.230439024390236</v>
      </c>
      <c r="H5" s="280" t="s">
        <v>17</v>
      </c>
      <c r="I5" s="420">
        <v>1</v>
      </c>
      <c r="J5" s="421"/>
      <c r="K5" s="395">
        <f>SUM(1440/G5)*I5</f>
        <v>34.9256528446897</v>
      </c>
      <c r="L5" s="396"/>
      <c r="M5" s="281">
        <f>SUM(G5/G4)</f>
        <v>1.7608833333333331</v>
      </c>
      <c r="N5" s="71"/>
      <c r="O5" s="282">
        <f>SUM(1440/((119.466*8/(8+B5-1))+(89.6*8/(8+B6-1))))*I5</f>
        <v>34.06454843728884</v>
      </c>
      <c r="P5" s="282">
        <f>SUM(1440/G5)*I5</f>
        <v>34.9256528446897</v>
      </c>
      <c r="Q5" s="283">
        <f>SUM(1440/((119.466*8/(8+B5+1))+(89.6*8/(8+B6+1))))*I5</f>
        <v>35.786750866439775</v>
      </c>
      <c r="R5" s="71"/>
      <c r="S5" s="458" t="s">
        <v>22</v>
      </c>
      <c r="T5" s="459"/>
      <c r="U5" s="266">
        <f>SUM(P7+K22+K37+K52+K67+K82)</f>
        <v>33.22561765372973</v>
      </c>
      <c r="V5" s="267" t="s">
        <v>23</v>
      </c>
      <c r="W5" s="71"/>
      <c r="X5" s="71"/>
      <c r="CM5" s="65"/>
      <c r="CN5" s="65"/>
      <c r="CO5" s="65"/>
      <c r="CP5" s="65"/>
      <c r="CQ5" s="65"/>
      <c r="CR5" s="65"/>
      <c r="CS5" s="65"/>
      <c r="CT5" s="65"/>
      <c r="CU5" s="65"/>
      <c r="CV5" s="65"/>
    </row>
    <row r="6" spans="1:100" ht="12.75">
      <c r="A6" s="275" t="s">
        <v>24</v>
      </c>
      <c r="B6" s="308">
        <v>32</v>
      </c>
      <c r="C6" s="62"/>
      <c r="D6" s="276" t="s">
        <v>25</v>
      </c>
      <c r="E6" s="277">
        <f>SUM(160*8/(8+B5))</f>
        <v>31.21951219512195</v>
      </c>
      <c r="F6" s="277">
        <f>SUM(106.6666667*8/(8+B6))</f>
        <v>21.33333334</v>
      </c>
      <c r="G6" s="279">
        <f>SUM(E6+F6)</f>
        <v>52.552845535121946</v>
      </c>
      <c r="H6" s="280" t="s">
        <v>17</v>
      </c>
      <c r="I6" s="420"/>
      <c r="J6" s="421"/>
      <c r="K6" s="395">
        <f>SUM(1440/G6)*I6</f>
        <v>0</v>
      </c>
      <c r="L6" s="396"/>
      <c r="M6" s="281">
        <f>SUM(G6/G4)</f>
        <v>2.2444444447291665</v>
      </c>
      <c r="N6" s="71"/>
      <c r="O6" s="282">
        <f>SUM(1440/((160*8/(8+B5-1))+(106.6666667*8/(8+B6-1))))*I6</f>
        <v>0</v>
      </c>
      <c r="P6" s="282">
        <f>SUM(1440/G6)*I6</f>
        <v>0</v>
      </c>
      <c r="Q6" s="283">
        <f>SUM(1440/((160*8/(8+B5+1))+(106.6666667*8/(8+B6+1))))*I6</f>
        <v>0</v>
      </c>
      <c r="R6" s="71"/>
      <c r="S6" s="458" t="s">
        <v>26</v>
      </c>
      <c r="T6" s="459"/>
      <c r="U6" s="285">
        <f>SUM(I4+I5+I6+I7+I19+I20+I21+I22+I34+I35+I36+I37+I49+I50+I51+I52+I64+I65+I66+I67+I79+I80+I81+I82)</f>
        <v>11</v>
      </c>
      <c r="V6" s="267" t="s">
        <v>27</v>
      </c>
      <c r="W6" s="71"/>
      <c r="X6" s="71"/>
      <c r="CM6" s="65"/>
      <c r="CN6" s="65"/>
      <c r="CO6" s="65"/>
      <c r="CP6" s="65"/>
      <c r="CQ6" s="65"/>
      <c r="CR6" s="65"/>
      <c r="CS6" s="65"/>
      <c r="CT6" s="65"/>
      <c r="CU6" s="65"/>
      <c r="CV6" s="65"/>
    </row>
    <row r="7" spans="1:100" ht="13.5" thickBot="1">
      <c r="A7" s="275" t="s">
        <v>28</v>
      </c>
      <c r="B7" s="308">
        <v>40</v>
      </c>
      <c r="C7" s="62"/>
      <c r="D7" s="276" t="s">
        <v>29</v>
      </c>
      <c r="E7" s="277">
        <f>SUM(341.333*8/(8+B5))</f>
        <v>66.60156097560976</v>
      </c>
      <c r="F7" s="277">
        <f>SUM(32*8/(8+B6))</f>
        <v>6.4</v>
      </c>
      <c r="G7" s="279">
        <f>SUM(E7+F7)</f>
        <v>73.00156097560976</v>
      </c>
      <c r="H7" s="280" t="s">
        <v>17</v>
      </c>
      <c r="I7" s="420">
        <v>1</v>
      </c>
      <c r="J7" s="421"/>
      <c r="K7" s="395">
        <f>SUM(1440/G7)*I7</f>
        <v>19.72560560014754</v>
      </c>
      <c r="L7" s="396"/>
      <c r="M7" s="281">
        <f>SUM(G7/G4)</f>
        <v>3.1177750000000004</v>
      </c>
      <c r="N7" s="71"/>
      <c r="O7" s="282">
        <f>SUM(1440/((341.333*8/(8+B5-1))+(32*8/(8+B6-1))))*I7</f>
        <v>19.243438196593782</v>
      </c>
      <c r="P7" s="286">
        <f>SUM(1440/G7)*I7</f>
        <v>19.72560560014754</v>
      </c>
      <c r="Q7" s="283">
        <f>SUM(1440/((341.333*8/(8+B5+1))+(32*8/(8+B6+1))))*I7</f>
        <v>20.207771829768884</v>
      </c>
      <c r="R7" s="71"/>
      <c r="S7" s="461" t="s">
        <v>30</v>
      </c>
      <c r="T7" s="462"/>
      <c r="U7" s="287" t="s">
        <v>31</v>
      </c>
      <c r="V7" s="287" t="s">
        <v>32</v>
      </c>
      <c r="W7" s="71"/>
      <c r="X7" s="71"/>
      <c r="CO7" s="65"/>
      <c r="CP7" s="65"/>
      <c r="CQ7" s="65"/>
      <c r="CR7" s="65"/>
      <c r="CS7" s="65"/>
      <c r="CT7" s="65"/>
      <c r="CU7" s="65"/>
      <c r="CV7" s="65"/>
    </row>
    <row r="8" spans="1:100" ht="13.5" thickBot="1">
      <c r="A8" s="288" t="s">
        <v>33</v>
      </c>
      <c r="B8" s="309">
        <v>0</v>
      </c>
      <c r="C8" s="62"/>
      <c r="D8" s="62"/>
      <c r="E8" s="62"/>
      <c r="F8" s="62"/>
      <c r="G8" s="289"/>
      <c r="H8" s="62"/>
      <c r="I8" s="62"/>
      <c r="J8" s="62"/>
      <c r="K8" s="62"/>
      <c r="L8" s="173"/>
      <c r="M8" s="62"/>
      <c r="N8" s="71"/>
      <c r="O8" s="71"/>
      <c r="P8" s="71"/>
      <c r="Q8" s="71"/>
      <c r="R8" s="71"/>
      <c r="S8" s="458" t="s">
        <v>34</v>
      </c>
      <c r="T8" s="459"/>
      <c r="U8" s="290">
        <f>SUM(E11+E26+E41+E56+E71+E86)</f>
        <v>10.416666666666666</v>
      </c>
      <c r="V8" s="291">
        <f>SUM(P11,P26,P41,P56,P71,P86)</f>
        <v>12.5</v>
      </c>
      <c r="W8" s="71"/>
      <c r="X8" s="71"/>
      <c r="CQ8" s="65"/>
      <c r="CR8" s="65"/>
      <c r="CS8" s="65"/>
      <c r="CT8" s="65"/>
      <c r="CU8" s="65"/>
      <c r="CV8" s="65"/>
    </row>
    <row r="9" spans="1:100" ht="25.5" customHeight="1">
      <c r="A9" s="289"/>
      <c r="B9" s="292"/>
      <c r="C9" s="438" t="s">
        <v>35</v>
      </c>
      <c r="D9" s="464"/>
      <c r="E9" s="465" t="s">
        <v>36</v>
      </c>
      <c r="F9" s="438" t="s">
        <v>37</v>
      </c>
      <c r="G9" s="464"/>
      <c r="H9" s="62"/>
      <c r="I9" s="433" t="s">
        <v>38</v>
      </c>
      <c r="J9" s="433"/>
      <c r="K9" s="433"/>
      <c r="L9" s="433"/>
      <c r="M9" s="433"/>
      <c r="N9" s="71"/>
      <c r="O9" s="397" t="s">
        <v>232</v>
      </c>
      <c r="P9" s="399" t="s">
        <v>233</v>
      </c>
      <c r="Q9" s="401" t="s">
        <v>234</v>
      </c>
      <c r="R9" s="71"/>
      <c r="S9" s="458" t="s">
        <v>39</v>
      </c>
      <c r="T9" s="459"/>
      <c r="U9" s="290">
        <f>SUM(E12+E27+E42+E57+E72+E87)</f>
        <v>6.944444444444445</v>
      </c>
      <c r="V9" s="291">
        <f>SUM(P12,P27,P42,P57,P72,P87)</f>
        <v>8.333333333333334</v>
      </c>
      <c r="W9" s="71"/>
      <c r="X9" s="71"/>
      <c r="CP9" s="65"/>
      <c r="CQ9" s="65"/>
      <c r="CR9" s="65"/>
      <c r="CS9" s="65"/>
      <c r="CT9" s="65"/>
      <c r="CU9" s="65"/>
      <c r="CV9" s="65"/>
    </row>
    <row r="10" spans="1:100" ht="25.5" customHeight="1">
      <c r="A10" s="293"/>
      <c r="B10" s="294"/>
      <c r="C10" s="295" t="s">
        <v>40</v>
      </c>
      <c r="D10" s="296" t="s">
        <v>41</v>
      </c>
      <c r="E10" s="466"/>
      <c r="F10" s="295" t="s">
        <v>40</v>
      </c>
      <c r="G10" s="295" t="s">
        <v>41</v>
      </c>
      <c r="H10" s="297"/>
      <c r="I10" s="403" t="s">
        <v>42</v>
      </c>
      <c r="J10" s="404"/>
      <c r="K10" s="405"/>
      <c r="L10" s="409" t="s">
        <v>43</v>
      </c>
      <c r="M10" s="410"/>
      <c r="N10" s="71"/>
      <c r="O10" s="398"/>
      <c r="P10" s="400"/>
      <c r="Q10" s="402"/>
      <c r="R10" s="71"/>
      <c r="S10" s="458" t="s">
        <v>44</v>
      </c>
      <c r="T10" s="459"/>
      <c r="U10" s="290">
        <f>SUM(E13+E28+E43+E58+E73+E88)</f>
        <v>5.208333333333333</v>
      </c>
      <c r="V10" s="291">
        <f>SUM(P13,P28,P43,P58,P73,P88)</f>
        <v>6.25</v>
      </c>
      <c r="W10" s="71"/>
      <c r="X10" s="71"/>
      <c r="CP10" s="65"/>
      <c r="CQ10" s="65"/>
      <c r="CR10" s="65"/>
      <c r="CS10" s="65"/>
      <c r="CT10" s="65"/>
      <c r="CU10" s="65"/>
      <c r="CV10" s="65"/>
    </row>
    <row r="11" spans="1:100" ht="12.75">
      <c r="A11" s="275" t="s">
        <v>45</v>
      </c>
      <c r="B11" s="308">
        <v>10</v>
      </c>
      <c r="C11" s="298">
        <f>F11*1.2</f>
        <v>203.2941176470588</v>
      </c>
      <c r="D11" s="298">
        <f>SUM(C11/60)</f>
        <v>3.388235294117647</v>
      </c>
      <c r="E11" s="298">
        <f>IF(D11=0,0,SUM(24/D11))</f>
        <v>7.083333333333333</v>
      </c>
      <c r="F11" s="298">
        <f>IF(B11=0,0,SUM(360*8/(7+(B11))))</f>
        <v>169.41176470588235</v>
      </c>
      <c r="G11" s="298">
        <f>SUM(F11/60)</f>
        <v>2.8235294117647056</v>
      </c>
      <c r="H11" s="62"/>
      <c r="I11" s="406"/>
      <c r="J11" s="407"/>
      <c r="K11" s="408"/>
      <c r="L11" s="287" t="s">
        <v>41</v>
      </c>
      <c r="M11" s="287" t="s">
        <v>40</v>
      </c>
      <c r="N11" s="71"/>
      <c r="O11" s="299">
        <f>IF((IF(B11-1&lt;=0,0,SUM(360*8/(7+(B11-1))))/60)=0,0,SUM(24/(IF(B11-1=0,0,SUM(360*8/(7+(B11-1))))/60)))</f>
        <v>8</v>
      </c>
      <c r="P11" s="282">
        <f>IF(G11=0,0,SUM(24/G11))</f>
        <v>8.5</v>
      </c>
      <c r="Q11" s="283">
        <f>IF((IF(B11+1=0,0,SUM(360*8/(7+(B11+1))))/60)=0,0,SUM(24/(IF(B11+1=0,0,SUM(360*8/(7+(B11+1))))/60)))</f>
        <v>9</v>
      </c>
      <c r="R11" s="71"/>
      <c r="S11" s="458" t="s">
        <v>46</v>
      </c>
      <c r="T11" s="459"/>
      <c r="U11" s="290">
        <f>SUM(E14+E29+E44+E59+E74+E89)</f>
        <v>3.4722222222222223</v>
      </c>
      <c r="V11" s="291">
        <f>SUM(P14,P29,P44,P59,P74,P89)</f>
        <v>4.166666666666667</v>
      </c>
      <c r="W11" s="71"/>
      <c r="X11" s="71"/>
      <c r="CP11" s="65"/>
      <c r="CQ11" s="65"/>
      <c r="CR11" s="65"/>
      <c r="CS11" s="65"/>
      <c r="CT11" s="65"/>
      <c r="CU11" s="65"/>
      <c r="CV11" s="65"/>
    </row>
    <row r="12" spans="1:100" ht="12.75">
      <c r="A12" s="275" t="s">
        <v>47</v>
      </c>
      <c r="B12" s="308">
        <v>10</v>
      </c>
      <c r="C12" s="298">
        <f>F12*1.2</f>
        <v>304.94117647058823</v>
      </c>
      <c r="D12" s="298">
        <f>SUM(C12/60)</f>
        <v>5.08235294117647</v>
      </c>
      <c r="E12" s="298">
        <f>IF(D12=0,0,SUM(24/D12))</f>
        <v>4.722222222222222</v>
      </c>
      <c r="F12" s="298">
        <f>IF(B12=0,0,SUM(540*8/(7+(B12))))</f>
        <v>254.11764705882354</v>
      </c>
      <c r="G12" s="298">
        <f>SUM(F12/60)</f>
        <v>4.235294117647059</v>
      </c>
      <c r="H12" s="62"/>
      <c r="I12" s="419">
        <v>55</v>
      </c>
      <c r="J12" s="419"/>
      <c r="K12" s="419"/>
      <c r="L12" s="300">
        <f>SUM(I12*8/(B6+8))</f>
        <v>11</v>
      </c>
      <c r="M12" s="301">
        <f>SUM(L12*60)</f>
        <v>660</v>
      </c>
      <c r="N12" s="71"/>
      <c r="O12" s="299">
        <f>IF((IF(B12-1&lt;=0,0,SUM(540*8/(7+(B12-1))))/60)=0,0,SUM(24/(IF(B12-1=0,0,SUM(540*8/(7+(B12-1))))/60)))</f>
        <v>5.333333333333333</v>
      </c>
      <c r="P12" s="282">
        <f>IF(G12=0,0,SUM(24/G12))</f>
        <v>5.666666666666667</v>
      </c>
      <c r="Q12" s="283">
        <f>IF((IF(B12+1=0,0,SUM(540*8/(7+(B12+1))))/60)=0,0,SUM(24/(IF(B12+1=0,0,SUM(540*8/(7+(B12+1))))/60)))</f>
        <v>6</v>
      </c>
      <c r="R12" s="71"/>
      <c r="S12" s="458" t="s">
        <v>48</v>
      </c>
      <c r="T12" s="459"/>
      <c r="U12" s="291">
        <f>SUM(E15+E30+E45+E60+E75+E90)</f>
        <v>4.333333333333334</v>
      </c>
      <c r="V12" s="302">
        <f>SUM(P15,P30,P45,P60,P75,P90)</f>
        <v>5.199999999999999</v>
      </c>
      <c r="W12" s="71"/>
      <c r="X12" s="71"/>
      <c r="CM12" s="65"/>
      <c r="CN12" s="65"/>
      <c r="CO12" s="65"/>
      <c r="CP12" s="65"/>
      <c r="CQ12" s="65"/>
      <c r="CR12" s="65"/>
      <c r="CS12" s="65"/>
      <c r="CT12" s="65"/>
      <c r="CU12" s="65"/>
      <c r="CV12" s="65"/>
    </row>
    <row r="13" spans="1:100" ht="13.5" thickBot="1">
      <c r="A13" s="275" t="s">
        <v>49</v>
      </c>
      <c r="B13" s="308">
        <v>10</v>
      </c>
      <c r="C13" s="298">
        <f>F13*1.2</f>
        <v>406.5882352941176</v>
      </c>
      <c r="D13" s="298">
        <f>SUM(C13/60)</f>
        <v>6.776470588235294</v>
      </c>
      <c r="E13" s="298">
        <f>IF(D13=0,0,SUM(24/D13))</f>
        <v>3.5416666666666665</v>
      </c>
      <c r="F13" s="298">
        <f>IF(B13=0,0,SUM(720*8/(7+(B13))))</f>
        <v>338.8235294117647</v>
      </c>
      <c r="G13" s="298">
        <f>SUM(F13/60)</f>
        <v>5.647058823529411</v>
      </c>
      <c r="H13" s="62"/>
      <c r="I13" s="424" t="s">
        <v>50</v>
      </c>
      <c r="J13" s="425"/>
      <c r="K13" s="425"/>
      <c r="L13" s="425"/>
      <c r="M13" s="426"/>
      <c r="N13" s="71"/>
      <c r="O13" s="299">
        <f>IF((IF(B13-1&lt;=0,0,SUM(720*8/(7+(B13-1))))/60)=0,0,SUM(24/(IF(B13-1=0,0,SUM(720*8/(7+(B13-1))))/60)))</f>
        <v>4</v>
      </c>
      <c r="P13" s="282">
        <f>IF(G13=0,0,SUM(24/G13))</f>
        <v>4.25</v>
      </c>
      <c r="Q13" s="283">
        <f>IF((IF(B13+1=0,0,SUM(720*8/(7+(B13+1))))/60)=0,0,SUM(24/(IF(B13+1=0,0,SUM(720*8/(7+(B13+1))))/60)))</f>
        <v>4.5</v>
      </c>
      <c r="R13" s="71"/>
      <c r="S13" s="460"/>
      <c r="T13" s="460"/>
      <c r="U13" s="71"/>
      <c r="V13" s="71"/>
      <c r="W13" s="71"/>
      <c r="X13" s="71"/>
      <c r="CM13" s="65"/>
      <c r="CN13" s="65"/>
      <c r="CO13" s="65"/>
      <c r="CP13" s="65"/>
      <c r="CQ13" s="65"/>
      <c r="CR13" s="65"/>
      <c r="CS13" s="65"/>
      <c r="CT13" s="65"/>
      <c r="CU13" s="65"/>
      <c r="CV13" s="65"/>
    </row>
    <row r="14" spans="1:100" ht="12.75" customHeight="1">
      <c r="A14" s="275" t="s">
        <v>51</v>
      </c>
      <c r="B14" s="308">
        <v>10</v>
      </c>
      <c r="C14" s="298">
        <f>F14*1.2</f>
        <v>609.8823529411765</v>
      </c>
      <c r="D14" s="298">
        <f>SUM(C14/60)</f>
        <v>10.16470588235294</v>
      </c>
      <c r="E14" s="298">
        <f>IF(D14=0,0,SUM(24/D14))</f>
        <v>2.361111111111111</v>
      </c>
      <c r="F14" s="298">
        <f>IF(B14=0,0,SUM(1080*8/(7+(B14))))</f>
        <v>508.2352941176471</v>
      </c>
      <c r="G14" s="298">
        <f>SUM(F14/60)</f>
        <v>8.470588235294118</v>
      </c>
      <c r="H14" s="62"/>
      <c r="I14" s="415" t="s">
        <v>52</v>
      </c>
      <c r="J14" s="416"/>
      <c r="K14" s="419">
        <v>6</v>
      </c>
      <c r="L14" s="411">
        <f>IF(K14=0,0,SUM(((I12*24/K14)*8)/(B6+8)))</f>
        <v>44</v>
      </c>
      <c r="M14" s="413">
        <f>SUM(L14*60)</f>
        <v>2640</v>
      </c>
      <c r="N14" s="303"/>
      <c r="O14" s="299">
        <f>IF((IF(B14-1&lt;=0,0,SUM(1080*8/(7+(B14-1))))/60)=0,0,SUM(24/(IF(B14-1=0,0,SUM(1080*8/(7+(B14-1))))/60)))</f>
        <v>2.6666666666666665</v>
      </c>
      <c r="P14" s="282">
        <f>IF(G14=0,0,SUM(24/G14))</f>
        <v>2.8333333333333335</v>
      </c>
      <c r="Q14" s="283">
        <f>IF((IF(B14+1=0,0,SUM(1080*8/(7+(B14+1))))/60)=0,0,SUM(24/(IF(B14+1=0,0,SUM(1080*8/(7+(B14+1))))/60)))</f>
        <v>3</v>
      </c>
      <c r="R14" s="303"/>
      <c r="S14" s="446" t="s">
        <v>53</v>
      </c>
      <c r="T14" s="447"/>
      <c r="U14" s="447"/>
      <c r="V14" s="447"/>
      <c r="W14" s="448"/>
      <c r="X14" s="71"/>
      <c r="CD14" s="65"/>
      <c r="CE14" s="65"/>
      <c r="CF14" s="65"/>
      <c r="CG14" s="65"/>
      <c r="CH14" s="65"/>
      <c r="CI14" s="65"/>
      <c r="CJ14" s="65"/>
      <c r="CK14" s="65"/>
      <c r="CL14" s="65"/>
      <c r="CM14" s="65"/>
      <c r="CN14" s="65"/>
      <c r="CO14" s="65"/>
      <c r="CP14" s="65"/>
      <c r="CQ14" s="65"/>
      <c r="CR14" s="65"/>
      <c r="CS14" s="65"/>
      <c r="CT14" s="65"/>
      <c r="CU14" s="65"/>
      <c r="CV14" s="65"/>
    </row>
    <row r="15" spans="1:100" ht="12.75" customHeight="1" thickBot="1">
      <c r="A15" s="275" t="s">
        <v>54</v>
      </c>
      <c r="B15" s="308">
        <v>10</v>
      </c>
      <c r="C15" s="298">
        <f>F15*1.2</f>
        <v>508.235294117647</v>
      </c>
      <c r="D15" s="298">
        <f>SUM(C15/60)</f>
        <v>8.470588235294118</v>
      </c>
      <c r="E15" s="298">
        <f>IF(D15=0,0,SUM(24/D15))</f>
        <v>2.8333333333333335</v>
      </c>
      <c r="F15" s="298">
        <f>IF(B15=0,0,SUM(900*8/(7+(B15))))</f>
        <v>423.52941176470586</v>
      </c>
      <c r="G15" s="298">
        <f>SUM(F15/60)</f>
        <v>7.0588235294117645</v>
      </c>
      <c r="H15" s="62"/>
      <c r="I15" s="417"/>
      <c r="J15" s="418"/>
      <c r="K15" s="419"/>
      <c r="L15" s="412"/>
      <c r="M15" s="414"/>
      <c r="N15" s="303"/>
      <c r="O15" s="299">
        <f>IF((IF(B15-1&lt;=0,0,SUM(900*8/(7+(B15-1))))/60)=0,0,SUM(24/(IF(B15-1=0,0,SUM(900*8/(7+(B15-1))))/60)))</f>
        <v>3.2</v>
      </c>
      <c r="P15" s="286">
        <f>IF(G15=0,0,SUM(24/G15))</f>
        <v>3.4</v>
      </c>
      <c r="Q15" s="283">
        <f>IF((IF(B15+1=0,0,SUM(720*8/(7+(B15+1))))/60)=0,0,SUM(24/(IF(B15+1=0,0,SUM(720*8/(7+(B15+1))))/60)))</f>
        <v>4.5</v>
      </c>
      <c r="R15" s="303"/>
      <c r="S15" s="449" t="s">
        <v>55</v>
      </c>
      <c r="T15" s="450"/>
      <c r="U15" s="450"/>
      <c r="V15" s="450"/>
      <c r="W15" s="451"/>
      <c r="X15" s="71"/>
      <c r="CD15" s="65"/>
      <c r="CE15" s="65"/>
      <c r="CF15" s="65"/>
      <c r="CG15" s="65"/>
      <c r="CH15" s="65"/>
      <c r="CI15" s="65"/>
      <c r="CJ15" s="65"/>
      <c r="CK15" s="65"/>
      <c r="CL15" s="65"/>
      <c r="CM15" s="65"/>
      <c r="CN15" s="65"/>
      <c r="CO15" s="65"/>
      <c r="CP15" s="65"/>
      <c r="CQ15" s="65"/>
      <c r="CR15" s="65"/>
      <c r="CS15" s="65"/>
      <c r="CT15" s="65"/>
      <c r="CU15" s="65"/>
      <c r="CV15" s="65"/>
    </row>
    <row r="16" spans="1:100" ht="15" customHeight="1">
      <c r="A16" s="422" t="s">
        <v>301</v>
      </c>
      <c r="B16" s="422"/>
      <c r="C16" s="422"/>
      <c r="D16" s="422"/>
      <c r="E16" s="422"/>
      <c r="F16" s="422"/>
      <c r="G16" s="422"/>
      <c r="H16" s="422"/>
      <c r="I16" s="422"/>
      <c r="J16" s="422"/>
      <c r="K16" s="422"/>
      <c r="L16" s="422"/>
      <c r="M16" s="422"/>
      <c r="N16" s="259"/>
      <c r="O16" s="303"/>
      <c r="P16" s="303"/>
      <c r="Q16" s="303"/>
      <c r="R16" s="303"/>
      <c r="S16" s="452" t="s">
        <v>302</v>
      </c>
      <c r="T16" s="453"/>
      <c r="U16" s="453"/>
      <c r="V16" s="453"/>
      <c r="W16" s="454"/>
      <c r="X16" s="71"/>
      <c r="CE16" s="65"/>
      <c r="CF16" s="65"/>
      <c r="CG16" s="65"/>
      <c r="CH16" s="65"/>
      <c r="CI16" s="65"/>
      <c r="CJ16" s="65"/>
      <c r="CK16" s="65"/>
      <c r="CL16" s="65"/>
      <c r="CM16" s="65"/>
      <c r="CN16" s="65"/>
      <c r="CO16" s="65"/>
      <c r="CP16" s="65"/>
      <c r="CQ16" s="65"/>
      <c r="CR16" s="65"/>
      <c r="CS16" s="65"/>
      <c r="CT16" s="65"/>
      <c r="CU16" s="65"/>
      <c r="CV16" s="65"/>
    </row>
    <row r="17" spans="1:100" ht="26.25" thickBot="1">
      <c r="A17" s="423" t="s">
        <v>56</v>
      </c>
      <c r="B17" s="423"/>
      <c r="C17" s="262" t="s">
        <v>2</v>
      </c>
      <c r="D17" s="195">
        <f>SUM(B19*70)</f>
        <v>0</v>
      </c>
      <c r="E17" s="263"/>
      <c r="F17" s="71"/>
      <c r="G17" s="71"/>
      <c r="H17" s="71"/>
      <c r="I17" s="71"/>
      <c r="J17" s="71"/>
      <c r="K17" s="71"/>
      <c r="L17" s="264"/>
      <c r="M17" s="71"/>
      <c r="N17" s="71"/>
      <c r="O17" s="71"/>
      <c r="P17" s="71"/>
      <c r="Q17" s="71"/>
      <c r="R17" s="71"/>
      <c r="S17" s="455"/>
      <c r="T17" s="456"/>
      <c r="U17" s="456"/>
      <c r="V17" s="456"/>
      <c r="W17" s="457"/>
      <c r="X17" s="71"/>
      <c r="CE17" s="65"/>
      <c r="CF17" s="65"/>
      <c r="CG17" s="65"/>
      <c r="CH17" s="65"/>
      <c r="CI17" s="65"/>
      <c r="CJ17" s="65"/>
      <c r="CK17" s="65"/>
      <c r="CL17" s="65"/>
      <c r="CM17" s="65"/>
      <c r="CN17" s="65"/>
      <c r="CO17" s="65"/>
      <c r="CP17" s="65"/>
      <c r="CQ17" s="65"/>
      <c r="CR17" s="65"/>
      <c r="CS17" s="65"/>
      <c r="CT17" s="65"/>
      <c r="CU17" s="65"/>
      <c r="CV17" s="65"/>
    </row>
    <row r="18" spans="1:100" ht="35.25" customHeight="1">
      <c r="A18" s="268" t="s">
        <v>5</v>
      </c>
      <c r="B18" s="268" t="s">
        <v>6</v>
      </c>
      <c r="C18" s="269"/>
      <c r="D18" s="270"/>
      <c r="E18" s="262" t="s">
        <v>7</v>
      </c>
      <c r="F18" s="262" t="s">
        <v>8</v>
      </c>
      <c r="G18" s="437" t="s">
        <v>9</v>
      </c>
      <c r="H18" s="437"/>
      <c r="I18" s="438" t="s">
        <v>10</v>
      </c>
      <c r="J18" s="439"/>
      <c r="K18" s="437" t="s">
        <v>11</v>
      </c>
      <c r="L18" s="437"/>
      <c r="M18" s="271" t="s">
        <v>12</v>
      </c>
      <c r="N18" s="304"/>
      <c r="O18" s="272" t="s">
        <v>230</v>
      </c>
      <c r="P18" s="273" t="s">
        <v>11</v>
      </c>
      <c r="Q18" s="274" t="s">
        <v>231</v>
      </c>
      <c r="R18" s="71"/>
      <c r="S18" s="440" t="s">
        <v>57</v>
      </c>
      <c r="T18" s="441"/>
      <c r="U18" s="441"/>
      <c r="V18" s="441"/>
      <c r="W18" s="442"/>
      <c r="X18" s="71"/>
      <c r="CE18" s="65"/>
      <c r="CF18" s="65"/>
      <c r="CG18" s="65"/>
      <c r="CH18" s="65"/>
      <c r="CI18" s="65"/>
      <c r="CJ18" s="65"/>
      <c r="CK18" s="65"/>
      <c r="CL18" s="65"/>
      <c r="CM18" s="65"/>
      <c r="CN18" s="65"/>
      <c r="CO18" s="65"/>
      <c r="CP18" s="65"/>
      <c r="CQ18" s="65"/>
      <c r="CR18" s="65"/>
      <c r="CS18" s="65"/>
      <c r="CT18" s="65"/>
      <c r="CU18" s="65"/>
      <c r="CV18" s="65"/>
    </row>
    <row r="19" spans="1:100" ht="12.75" customHeight="1">
      <c r="A19" s="275" t="s">
        <v>15</v>
      </c>
      <c r="B19" s="307"/>
      <c r="C19" s="62"/>
      <c r="D19" s="276" t="s">
        <v>16</v>
      </c>
      <c r="E19" s="277">
        <f>SUM(120*8/(8+B20))</f>
        <v>34.285714285714285</v>
      </c>
      <c r="F19" s="278"/>
      <c r="G19" s="279">
        <f>SUM(E19)</f>
        <v>34.285714285714285</v>
      </c>
      <c r="H19" s="280" t="s">
        <v>17</v>
      </c>
      <c r="I19" s="420">
        <v>2</v>
      </c>
      <c r="J19" s="421"/>
      <c r="K19" s="395">
        <f>SUM(1440/G19)*I19</f>
        <v>84</v>
      </c>
      <c r="L19" s="396"/>
      <c r="M19" s="281">
        <v>1</v>
      </c>
      <c r="N19" s="305"/>
      <c r="O19" s="282">
        <f>SUM(1440/(120*8/(8+B20-1)))*I19</f>
        <v>81</v>
      </c>
      <c r="P19" s="282">
        <f>SUM(1440/G19)*I19</f>
        <v>84</v>
      </c>
      <c r="Q19" s="283">
        <f>SUM(1440/(120*8/(8+B20+1)))*I19</f>
        <v>87</v>
      </c>
      <c r="R19" s="71"/>
      <c r="S19" s="443"/>
      <c r="T19" s="444"/>
      <c r="U19" s="444"/>
      <c r="V19" s="444"/>
      <c r="W19" s="445"/>
      <c r="X19" s="71"/>
      <c r="CH19" s="65"/>
      <c r="CI19" s="65"/>
      <c r="CJ19" s="65"/>
      <c r="CK19" s="65"/>
      <c r="CL19" s="65"/>
      <c r="CM19" s="65"/>
      <c r="CN19" s="65"/>
      <c r="CO19" s="65"/>
      <c r="CP19" s="65"/>
      <c r="CQ19" s="65"/>
      <c r="CR19" s="65"/>
      <c r="CS19" s="65"/>
      <c r="CT19" s="65"/>
      <c r="CU19" s="65"/>
      <c r="CV19" s="65"/>
    </row>
    <row r="20" spans="1:100" ht="12.75" customHeight="1">
      <c r="A20" s="275" t="s">
        <v>20</v>
      </c>
      <c r="B20" s="308">
        <v>20</v>
      </c>
      <c r="C20" s="62"/>
      <c r="D20" s="276" t="s">
        <v>21</v>
      </c>
      <c r="E20" s="277">
        <f>SUM(119.466*8/(8+B20))</f>
        <v>34.13314285714286</v>
      </c>
      <c r="F20" s="284">
        <f>SUM(89.6*8/(8+B21))</f>
        <v>25.599999999999998</v>
      </c>
      <c r="G20" s="279">
        <f>SUM(E20+F20)</f>
        <v>59.73314285714285</v>
      </c>
      <c r="H20" s="280" t="s">
        <v>17</v>
      </c>
      <c r="I20" s="420">
        <v>1</v>
      </c>
      <c r="J20" s="421"/>
      <c r="K20" s="395">
        <f>SUM(1440/G20)*I20</f>
        <v>24.10721972965475</v>
      </c>
      <c r="L20" s="396"/>
      <c r="M20" s="281">
        <f>SUM(G20/G19)</f>
        <v>1.7422166666666665</v>
      </c>
      <c r="N20" s="305"/>
      <c r="O20" s="282">
        <f>SUM(1440/((119.466*8/(8+B20-1))+(89.6*8/(8+B21-1))))*I20</f>
        <v>23.246247596452797</v>
      </c>
      <c r="P20" s="282">
        <f>SUM(1440/G20)*I20</f>
        <v>24.10721972965475</v>
      </c>
      <c r="Q20" s="283">
        <f>SUM(1440/((119.466*8/(8+B20+1))+(89.6*8/(8+B21+1))))*I20</f>
        <v>24.968191862856706</v>
      </c>
      <c r="R20" s="71"/>
      <c r="S20" s="443"/>
      <c r="T20" s="444"/>
      <c r="U20" s="444"/>
      <c r="V20" s="444"/>
      <c r="W20" s="445"/>
      <c r="X20" s="71"/>
      <c r="CH20" s="65"/>
      <c r="CI20" s="65"/>
      <c r="CJ20" s="65"/>
      <c r="CK20" s="65"/>
      <c r="CL20" s="65"/>
      <c r="CM20" s="65"/>
      <c r="CN20" s="65"/>
      <c r="CO20" s="65"/>
      <c r="CP20" s="65"/>
      <c r="CQ20" s="65"/>
      <c r="CR20" s="65"/>
      <c r="CS20" s="65"/>
      <c r="CT20" s="65"/>
      <c r="CU20" s="65"/>
      <c r="CV20" s="65"/>
    </row>
    <row r="21" spans="1:100" ht="12.75" customHeight="1">
      <c r="A21" s="275" t="s">
        <v>24</v>
      </c>
      <c r="B21" s="308">
        <v>20</v>
      </c>
      <c r="C21" s="62"/>
      <c r="D21" s="276" t="s">
        <v>25</v>
      </c>
      <c r="E21" s="277">
        <f>SUM(160*8/(8+B20))</f>
        <v>45.714285714285715</v>
      </c>
      <c r="F21" s="277">
        <f>SUM(106.6666667*8/(8+B21))</f>
        <v>30.476190485714284</v>
      </c>
      <c r="G21" s="279">
        <f>SUM(E21+F21)</f>
        <v>76.1904762</v>
      </c>
      <c r="H21" s="280" t="s">
        <v>17</v>
      </c>
      <c r="I21" s="420">
        <v>1</v>
      </c>
      <c r="J21" s="421"/>
      <c r="K21" s="395">
        <f>SUM(1440/G21)*I21</f>
        <v>18.899999997637497</v>
      </c>
      <c r="L21" s="396"/>
      <c r="M21" s="281">
        <f>SUM(G21/G19)</f>
        <v>2.2222222225</v>
      </c>
      <c r="N21" s="305"/>
      <c r="O21" s="282">
        <f>SUM(1440/((160*8/(8+B20-1))+(106.6666667*8/(8+B21-1))))*I21</f>
        <v>18.224999997721877</v>
      </c>
      <c r="P21" s="282">
        <f>SUM(1440/G21)*I21</f>
        <v>18.899999997637497</v>
      </c>
      <c r="Q21" s="283">
        <f>SUM(1440/((160*8/(8+B20+1))+(106.6666667*8/(8+B21+1))))*I21</f>
        <v>19.574999997553125</v>
      </c>
      <c r="R21" s="71"/>
      <c r="S21" s="443"/>
      <c r="T21" s="444"/>
      <c r="U21" s="444"/>
      <c r="V21" s="444"/>
      <c r="W21" s="445"/>
      <c r="X21" s="71"/>
      <c r="CC21" s="65"/>
      <c r="CD21" s="65"/>
      <c r="CE21" s="65"/>
      <c r="CF21" s="65"/>
      <c r="CG21" s="65"/>
      <c r="CH21" s="65"/>
      <c r="CI21" s="65"/>
      <c r="CJ21" s="65"/>
      <c r="CK21" s="65"/>
      <c r="CL21" s="65"/>
      <c r="CM21" s="65"/>
      <c r="CN21" s="65"/>
      <c r="CO21" s="65"/>
      <c r="CP21" s="65"/>
      <c r="CQ21" s="65"/>
      <c r="CR21" s="65"/>
      <c r="CS21" s="65"/>
      <c r="CT21" s="65"/>
      <c r="CU21" s="65"/>
      <c r="CV21" s="65"/>
    </row>
    <row r="22" spans="1:100" ht="12.75" customHeight="1" thickBot="1">
      <c r="A22" s="275" t="s">
        <v>28</v>
      </c>
      <c r="B22" s="308"/>
      <c r="C22" s="62"/>
      <c r="D22" s="276" t="s">
        <v>29</v>
      </c>
      <c r="E22" s="277">
        <f>SUM(341.333*8/(8+B20))</f>
        <v>97.52371428571429</v>
      </c>
      <c r="F22" s="277">
        <f>SUM(32*8/(8+B21))</f>
        <v>9.142857142857142</v>
      </c>
      <c r="G22" s="279">
        <f>SUM(E22+F22)</f>
        <v>106.66657142857143</v>
      </c>
      <c r="H22" s="280" t="s">
        <v>17</v>
      </c>
      <c r="I22" s="420">
        <v>1</v>
      </c>
      <c r="J22" s="421"/>
      <c r="K22" s="395">
        <f>SUM(1440/G22)*I22</f>
        <v>13.500012053582191</v>
      </c>
      <c r="L22" s="396"/>
      <c r="M22" s="281">
        <f>SUM(G22/G19)</f>
        <v>3.1111083333333336</v>
      </c>
      <c r="N22" s="305"/>
      <c r="O22" s="282">
        <f>SUM(1440/((341.333*8/(8+B20-1))+(32*8/(8+B21-1))))*I22</f>
        <v>13.017868765954255</v>
      </c>
      <c r="P22" s="286">
        <f>SUM(1440/G22)*I22</f>
        <v>13.500012053582191</v>
      </c>
      <c r="Q22" s="283">
        <f>SUM(1440/((341.333*8/(8+B20+1))+(32*8/(8+B21+1))))*I22</f>
        <v>13.982155341210124</v>
      </c>
      <c r="R22" s="71"/>
      <c r="S22" s="443"/>
      <c r="T22" s="444"/>
      <c r="U22" s="444"/>
      <c r="V22" s="444"/>
      <c r="W22" s="445"/>
      <c r="X22" s="71"/>
      <c r="CC22" s="65"/>
      <c r="CD22" s="65"/>
      <c r="CE22" s="65"/>
      <c r="CF22" s="65"/>
      <c r="CG22" s="65"/>
      <c r="CH22" s="65"/>
      <c r="CI22" s="65"/>
      <c r="CJ22" s="65"/>
      <c r="CK22" s="65"/>
      <c r="CL22" s="65"/>
      <c r="CM22" s="65"/>
      <c r="CN22" s="65"/>
      <c r="CO22" s="65"/>
      <c r="CP22" s="65"/>
      <c r="CQ22" s="65"/>
      <c r="CR22" s="65"/>
      <c r="CS22" s="65"/>
      <c r="CT22" s="65"/>
      <c r="CU22" s="65"/>
      <c r="CV22" s="65"/>
    </row>
    <row r="23" spans="1:100" ht="13.5" customHeight="1" thickBot="1">
      <c r="A23" s="288" t="s">
        <v>33</v>
      </c>
      <c r="B23" s="309"/>
      <c r="C23" s="311"/>
      <c r="D23" s="62"/>
      <c r="E23" s="62"/>
      <c r="F23" s="62"/>
      <c r="G23" s="289"/>
      <c r="H23" s="62"/>
      <c r="I23" s="62"/>
      <c r="J23" s="62"/>
      <c r="K23" s="62"/>
      <c r="L23" s="173"/>
      <c r="M23" s="62"/>
      <c r="N23" s="71"/>
      <c r="O23" s="71"/>
      <c r="P23" s="71"/>
      <c r="Q23" s="71"/>
      <c r="R23" s="71"/>
      <c r="S23" s="443"/>
      <c r="T23" s="444"/>
      <c r="U23" s="444"/>
      <c r="V23" s="444"/>
      <c r="W23" s="445"/>
      <c r="X23" s="71"/>
      <c r="CL23" s="65"/>
      <c r="CM23" s="65"/>
      <c r="CN23" s="65"/>
      <c r="CO23" s="65"/>
      <c r="CP23" s="65"/>
      <c r="CQ23" s="65"/>
      <c r="CR23" s="65"/>
      <c r="CS23" s="65"/>
      <c r="CT23" s="65"/>
      <c r="CU23" s="65"/>
      <c r="CV23" s="65"/>
    </row>
    <row r="24" spans="1:100" ht="42" customHeight="1">
      <c r="A24" s="289"/>
      <c r="B24" s="310"/>
      <c r="C24" s="438" t="s">
        <v>35</v>
      </c>
      <c r="D24" s="464"/>
      <c r="E24" s="465" t="s">
        <v>36</v>
      </c>
      <c r="F24" s="438" t="s">
        <v>37</v>
      </c>
      <c r="G24" s="464"/>
      <c r="H24" s="62"/>
      <c r="I24" s="433" t="s">
        <v>38</v>
      </c>
      <c r="J24" s="433"/>
      <c r="K24" s="433"/>
      <c r="L24" s="433"/>
      <c r="M24" s="433"/>
      <c r="N24" s="71"/>
      <c r="O24" s="397" t="s">
        <v>232</v>
      </c>
      <c r="P24" s="399" t="s">
        <v>233</v>
      </c>
      <c r="Q24" s="401" t="s">
        <v>234</v>
      </c>
      <c r="R24" s="71"/>
      <c r="S24" s="443"/>
      <c r="T24" s="444"/>
      <c r="U24" s="444"/>
      <c r="V24" s="444"/>
      <c r="W24" s="445"/>
      <c r="X24" s="71"/>
      <c r="CK24" s="65"/>
      <c r="CL24" s="65"/>
      <c r="CM24" s="65"/>
      <c r="CN24" s="65"/>
      <c r="CO24" s="65"/>
      <c r="CP24" s="65"/>
      <c r="CQ24" s="65"/>
      <c r="CR24" s="65"/>
      <c r="CS24" s="65"/>
      <c r="CT24" s="65"/>
      <c r="CU24" s="65"/>
      <c r="CV24" s="65"/>
    </row>
    <row r="25" spans="1:100" ht="12.75" customHeight="1">
      <c r="A25" s="293"/>
      <c r="B25" s="294"/>
      <c r="C25" s="295" t="s">
        <v>40</v>
      </c>
      <c r="D25" s="296" t="s">
        <v>41</v>
      </c>
      <c r="E25" s="466"/>
      <c r="F25" s="295" t="s">
        <v>40</v>
      </c>
      <c r="G25" s="296" t="s">
        <v>41</v>
      </c>
      <c r="H25" s="297"/>
      <c r="I25" s="403" t="s">
        <v>42</v>
      </c>
      <c r="J25" s="404"/>
      <c r="K25" s="405"/>
      <c r="L25" s="409" t="s">
        <v>43</v>
      </c>
      <c r="M25" s="410"/>
      <c r="N25" s="71"/>
      <c r="O25" s="398"/>
      <c r="P25" s="400"/>
      <c r="Q25" s="402"/>
      <c r="R25" s="71"/>
      <c r="S25" s="443"/>
      <c r="T25" s="444"/>
      <c r="U25" s="444"/>
      <c r="V25" s="444"/>
      <c r="W25" s="445"/>
      <c r="X25" s="71"/>
      <c r="CK25" s="65"/>
      <c r="CL25" s="65"/>
      <c r="CM25" s="65"/>
      <c r="CN25" s="65"/>
      <c r="CO25" s="65"/>
      <c r="CP25" s="65"/>
      <c r="CQ25" s="65"/>
      <c r="CR25" s="65"/>
      <c r="CS25" s="65"/>
      <c r="CT25" s="65"/>
      <c r="CU25" s="65"/>
      <c r="CV25" s="65"/>
    </row>
    <row r="26" spans="1:100" ht="12.75" customHeight="1">
      <c r="A26" s="275" t="s">
        <v>45</v>
      </c>
      <c r="B26" s="308">
        <v>1</v>
      </c>
      <c r="C26" s="298">
        <f>F26*1.2</f>
        <v>432</v>
      </c>
      <c r="D26" s="298">
        <f>SUM(C26/60)</f>
        <v>7.2</v>
      </c>
      <c r="E26" s="298">
        <f>IF(D26=0,0,SUM(24/D26))</f>
        <v>3.333333333333333</v>
      </c>
      <c r="F26" s="298">
        <f>IF(B26=0,0,SUM(360*8/(7+(B26))))</f>
        <v>360</v>
      </c>
      <c r="G26" s="298">
        <f>SUM(F26/60)</f>
        <v>6</v>
      </c>
      <c r="H26" s="62"/>
      <c r="I26" s="406"/>
      <c r="J26" s="407"/>
      <c r="K26" s="408"/>
      <c r="L26" s="287" t="s">
        <v>41</v>
      </c>
      <c r="M26" s="287" t="s">
        <v>40</v>
      </c>
      <c r="N26" s="71"/>
      <c r="O26" s="299">
        <f>IF((IF(B26-1&lt;=0,0,SUM(360*8/(7+(B26-1))))/60)=0,0,SUM(24/(IF(B26-1=0,0,SUM(360*8/(7+(B26-1))))/60)))</f>
        <v>0</v>
      </c>
      <c r="P26" s="282">
        <f>IF(G26=0,0,SUM(24/G26))</f>
        <v>4</v>
      </c>
      <c r="Q26" s="283">
        <f>IF((IF(B26+1=0,0,SUM(360*8/(7+(B26+1))))/60)=0,0,SUM(24/(IF(B26+1=0,0,SUM(360*8/(7+(B26+1))))/60)))</f>
        <v>4.5</v>
      </c>
      <c r="R26" s="71"/>
      <c r="S26" s="443"/>
      <c r="T26" s="444"/>
      <c r="U26" s="444"/>
      <c r="V26" s="444"/>
      <c r="W26" s="445"/>
      <c r="X26" s="71"/>
      <c r="CK26" s="65"/>
      <c r="CL26" s="65"/>
      <c r="CM26" s="65"/>
      <c r="CN26" s="65"/>
      <c r="CO26" s="65"/>
      <c r="CP26" s="65"/>
      <c r="CQ26" s="65"/>
      <c r="CR26" s="65"/>
      <c r="CS26" s="65"/>
      <c r="CT26" s="65"/>
      <c r="CU26" s="65"/>
      <c r="CV26" s="65"/>
    </row>
    <row r="27" spans="1:100" ht="12.75" customHeight="1">
      <c r="A27" s="275" t="s">
        <v>47</v>
      </c>
      <c r="B27" s="308">
        <v>1</v>
      </c>
      <c r="C27" s="298">
        <f>F27*1.2</f>
        <v>648</v>
      </c>
      <c r="D27" s="298">
        <f>SUM(C27/60)</f>
        <v>10.8</v>
      </c>
      <c r="E27" s="298">
        <f>IF(D27=0,0,SUM(24/D27))</f>
        <v>2.222222222222222</v>
      </c>
      <c r="F27" s="298">
        <f>IF(B27=0,0,SUM(540*8/(7+(B27))))</f>
        <v>540</v>
      </c>
      <c r="G27" s="298">
        <f>SUM(F27/60)</f>
        <v>9</v>
      </c>
      <c r="H27" s="62"/>
      <c r="I27" s="419"/>
      <c r="J27" s="419"/>
      <c r="K27" s="419"/>
      <c r="L27" s="300">
        <f>SUM(I27*8/(B21+8))</f>
        <v>0</v>
      </c>
      <c r="M27" s="301">
        <f>SUM(L27*60)</f>
        <v>0</v>
      </c>
      <c r="N27" s="71"/>
      <c r="O27" s="299">
        <f>IF((IF(B27-1&lt;=0,0,SUM(540*8/(7+(B27-1))))/60)=0,0,SUM(24/(IF(B27-1=0,0,SUM(540*8/(7+(B27-1))))/60)))</f>
        <v>0</v>
      </c>
      <c r="P27" s="282">
        <f>IF(G27=0,0,SUM(24/G27))</f>
        <v>2.6666666666666665</v>
      </c>
      <c r="Q27" s="283">
        <f>IF((IF(B27+1=0,0,SUM(540*8/(7+(B27+1))))/60)=0,0,SUM(24/(IF(B27+1=0,0,SUM(540*8/(7+(B27+1))))/60)))</f>
        <v>3</v>
      </c>
      <c r="R27" s="71"/>
      <c r="S27" s="443"/>
      <c r="T27" s="444"/>
      <c r="U27" s="444"/>
      <c r="V27" s="444"/>
      <c r="W27" s="445"/>
      <c r="X27" s="71"/>
      <c r="CK27" s="65"/>
      <c r="CL27" s="65"/>
      <c r="CM27" s="65"/>
      <c r="CN27" s="65"/>
      <c r="CO27" s="65"/>
      <c r="CP27" s="65"/>
      <c r="CQ27" s="65"/>
      <c r="CR27" s="65"/>
      <c r="CS27" s="65"/>
      <c r="CT27" s="65"/>
      <c r="CU27" s="65"/>
      <c r="CV27" s="65"/>
    </row>
    <row r="28" spans="1:100" ht="12.75" customHeight="1">
      <c r="A28" s="275" t="s">
        <v>49</v>
      </c>
      <c r="B28" s="308">
        <v>1</v>
      </c>
      <c r="C28" s="298">
        <f>F28*1.2</f>
        <v>864</v>
      </c>
      <c r="D28" s="298">
        <f>SUM(C28/60)</f>
        <v>14.4</v>
      </c>
      <c r="E28" s="298">
        <f>IF(D28=0,0,SUM(24/D28))</f>
        <v>1.6666666666666665</v>
      </c>
      <c r="F28" s="298">
        <f>IF(B28=0,0,SUM(720*8/(7+(B28))))</f>
        <v>720</v>
      </c>
      <c r="G28" s="298">
        <f>SUM(F28/60)</f>
        <v>12</v>
      </c>
      <c r="H28" s="62"/>
      <c r="I28" s="424" t="s">
        <v>50</v>
      </c>
      <c r="J28" s="425"/>
      <c r="K28" s="425"/>
      <c r="L28" s="425"/>
      <c r="M28" s="426"/>
      <c r="N28" s="71"/>
      <c r="O28" s="299">
        <f>IF((IF(B28-1&lt;=0,0,SUM(720*8/(7+(B28-1))))/60)=0,0,SUM(24/(IF(B28-1=0,0,SUM(720*8/(7+(B28-1))))/60)))</f>
        <v>0</v>
      </c>
      <c r="P28" s="282">
        <f>IF(G28=0,0,SUM(24/G28))</f>
        <v>2</v>
      </c>
      <c r="Q28" s="283">
        <f>IF((IF(B28+1=0,0,SUM(720*8/(7+(B28+1))))/60)=0,0,SUM(24/(IF(B28+1=0,0,SUM(720*8/(7+(B28+1))))/60)))</f>
        <v>2.25</v>
      </c>
      <c r="R28" s="71"/>
      <c r="S28" s="434" t="s">
        <v>58</v>
      </c>
      <c r="T28" s="435"/>
      <c r="U28" s="435"/>
      <c r="V28" s="435"/>
      <c r="W28" s="436"/>
      <c r="X28" s="71"/>
      <c r="CK28" s="65"/>
      <c r="CL28" s="65"/>
      <c r="CM28" s="65"/>
      <c r="CN28" s="65"/>
      <c r="CO28" s="65"/>
      <c r="CP28" s="65"/>
      <c r="CQ28" s="65"/>
      <c r="CR28" s="65"/>
      <c r="CS28" s="65"/>
      <c r="CT28" s="65"/>
      <c r="CU28" s="65"/>
      <c r="CV28" s="65"/>
    </row>
    <row r="29" spans="1:100" ht="12.75" customHeight="1">
      <c r="A29" s="275" t="s">
        <v>51</v>
      </c>
      <c r="B29" s="308">
        <v>1</v>
      </c>
      <c r="C29" s="298">
        <f>F29*1.2</f>
        <v>1296</v>
      </c>
      <c r="D29" s="298">
        <f>SUM(C29/60)</f>
        <v>21.6</v>
      </c>
      <c r="E29" s="298">
        <f>IF(D29=0,0,SUM(24/D29))</f>
        <v>1.111111111111111</v>
      </c>
      <c r="F29" s="298">
        <f>IF(B29=0,0,SUM(1080*8/(7+(B29))))</f>
        <v>1080</v>
      </c>
      <c r="G29" s="298">
        <f>SUM(F29/60)</f>
        <v>18</v>
      </c>
      <c r="H29" s="62"/>
      <c r="I29" s="415" t="s">
        <v>52</v>
      </c>
      <c r="J29" s="416"/>
      <c r="K29" s="419"/>
      <c r="L29" s="411">
        <f>IF(K29=0,0,SUM(((I27*24/K29)*8)/(B21+8)))</f>
        <v>0</v>
      </c>
      <c r="M29" s="413">
        <f>SUM(L29*60)</f>
        <v>0</v>
      </c>
      <c r="N29" s="303"/>
      <c r="O29" s="299">
        <f>IF((IF(B29-1&lt;=0,0,SUM(1080*8/(7+(B29-1))))/60)=0,0,SUM(24/(IF(B29-1=0,0,SUM(1080*8/(7+(B29-1))))/60)))</f>
        <v>0</v>
      </c>
      <c r="P29" s="282">
        <f>IF(G29=0,0,SUM(24/G29))</f>
        <v>1.3333333333333333</v>
      </c>
      <c r="Q29" s="283">
        <f>IF((IF(B29+1=0,0,SUM(1080*8/(7+(B29+1))))/60)=0,0,SUM(24/(IF(B29+1=0,0,SUM(1080*8/(7+(B29+1))))/60)))</f>
        <v>1.5</v>
      </c>
      <c r="R29" s="71"/>
      <c r="S29" s="434"/>
      <c r="T29" s="435"/>
      <c r="U29" s="435"/>
      <c r="V29" s="435"/>
      <c r="W29" s="436"/>
      <c r="X29" s="71"/>
      <c r="CK29" s="65"/>
      <c r="CL29" s="65"/>
      <c r="CM29" s="65"/>
      <c r="CN29" s="65"/>
      <c r="CO29" s="65"/>
      <c r="CP29" s="65"/>
      <c r="CQ29" s="65"/>
      <c r="CR29" s="65"/>
      <c r="CS29" s="65"/>
      <c r="CT29" s="65"/>
      <c r="CU29" s="65"/>
      <c r="CV29" s="65"/>
    </row>
    <row r="30" spans="1:100" ht="14.25" customHeight="1" thickBot="1">
      <c r="A30" s="275" t="s">
        <v>54</v>
      </c>
      <c r="B30" s="308">
        <v>2</v>
      </c>
      <c r="C30" s="298">
        <f>F30*1.2</f>
        <v>960</v>
      </c>
      <c r="D30" s="298">
        <f>SUM(C30/60)</f>
        <v>16</v>
      </c>
      <c r="E30" s="298">
        <f>IF(D30=0,0,SUM(24/D30))</f>
        <v>1.5</v>
      </c>
      <c r="F30" s="298">
        <f>IF(B30=0,0,SUM(900*8/(7+(B30))))</f>
        <v>800</v>
      </c>
      <c r="G30" s="298">
        <f>SUM(F30/60)</f>
        <v>13.333333333333334</v>
      </c>
      <c r="H30" s="62"/>
      <c r="I30" s="417"/>
      <c r="J30" s="418"/>
      <c r="K30" s="419"/>
      <c r="L30" s="412"/>
      <c r="M30" s="414"/>
      <c r="N30" s="303"/>
      <c r="O30" s="299">
        <f>IF((IF(B30-1&lt;=0,0,SUM(900*8/(7+(B30-1))))/60)=0,0,SUM(24/(IF(B30-1=0,0,SUM(900*8/(7+(B30-1))))/60)))</f>
        <v>1.6</v>
      </c>
      <c r="P30" s="286">
        <f>IF(G30=0,0,SUM(24/G30))</f>
        <v>1.7999999999999998</v>
      </c>
      <c r="Q30" s="283">
        <f>IF((IF(B30+1=0,0,SUM(720*8/(7+(B30+1))))/60)=0,0,SUM(24/(IF(B30+1=0,0,SUM(720*8/(7+(B30+1))))/60)))</f>
        <v>2.5</v>
      </c>
      <c r="R30" s="71"/>
      <c r="S30" s="434"/>
      <c r="T30" s="435"/>
      <c r="U30" s="435"/>
      <c r="V30" s="435"/>
      <c r="W30" s="436"/>
      <c r="X30" s="71"/>
      <c r="CK30" s="65"/>
      <c r="CL30" s="65"/>
      <c r="CM30" s="65"/>
      <c r="CN30" s="65"/>
      <c r="CO30" s="65"/>
      <c r="CP30" s="65"/>
      <c r="CQ30" s="65"/>
      <c r="CR30" s="65"/>
      <c r="CS30" s="65"/>
      <c r="CT30" s="65"/>
      <c r="CU30" s="65"/>
      <c r="CV30" s="65"/>
    </row>
    <row r="31" spans="1:100" ht="15" customHeight="1">
      <c r="A31" s="422" t="s">
        <v>301</v>
      </c>
      <c r="B31" s="422"/>
      <c r="C31" s="422"/>
      <c r="D31" s="422"/>
      <c r="E31" s="422"/>
      <c r="F31" s="422"/>
      <c r="G31" s="422"/>
      <c r="H31" s="422"/>
      <c r="I31" s="422"/>
      <c r="J31" s="422"/>
      <c r="K31" s="422"/>
      <c r="L31" s="422"/>
      <c r="M31" s="422"/>
      <c r="N31" s="259"/>
      <c r="O31" s="71"/>
      <c r="P31" s="71"/>
      <c r="Q31" s="71"/>
      <c r="R31" s="71"/>
      <c r="S31" s="434"/>
      <c r="T31" s="435"/>
      <c r="U31" s="435"/>
      <c r="V31" s="435"/>
      <c r="W31" s="436"/>
      <c r="X31" s="71"/>
      <c r="CL31" s="65"/>
      <c r="CM31" s="65"/>
      <c r="CN31" s="65"/>
      <c r="CO31" s="65"/>
      <c r="CP31" s="65"/>
      <c r="CQ31" s="65"/>
      <c r="CR31" s="65"/>
      <c r="CS31" s="65"/>
      <c r="CT31" s="65"/>
      <c r="CU31" s="65"/>
      <c r="CV31" s="65"/>
    </row>
    <row r="32" spans="1:100" ht="26.25" customHeight="1" thickBot="1">
      <c r="A32" s="423" t="s">
        <v>59</v>
      </c>
      <c r="B32" s="423"/>
      <c r="C32" s="262" t="s">
        <v>2</v>
      </c>
      <c r="D32" s="195">
        <f>SUM(B34*70)</f>
        <v>0</v>
      </c>
      <c r="E32" s="263"/>
      <c r="F32" s="71"/>
      <c r="G32" s="71"/>
      <c r="H32" s="71"/>
      <c r="I32" s="71"/>
      <c r="J32" s="71"/>
      <c r="K32" s="71"/>
      <c r="L32" s="264"/>
      <c r="M32" s="71"/>
      <c r="N32" s="71"/>
      <c r="O32" s="71"/>
      <c r="P32" s="71"/>
      <c r="Q32" s="71"/>
      <c r="R32" s="71"/>
      <c r="S32" s="434"/>
      <c r="T32" s="435"/>
      <c r="U32" s="435"/>
      <c r="V32" s="435"/>
      <c r="W32" s="436"/>
      <c r="X32" s="71"/>
      <c r="CL32" s="65"/>
      <c r="CM32" s="65"/>
      <c r="CN32" s="65"/>
      <c r="CO32" s="65"/>
      <c r="CP32" s="65"/>
      <c r="CQ32" s="65"/>
      <c r="CR32" s="65"/>
      <c r="CS32" s="65"/>
      <c r="CT32" s="65"/>
      <c r="CU32" s="65"/>
      <c r="CV32" s="65"/>
    </row>
    <row r="33" spans="1:100" ht="27.75" customHeight="1">
      <c r="A33" s="268" t="s">
        <v>5</v>
      </c>
      <c r="B33" s="268" t="s">
        <v>6</v>
      </c>
      <c r="C33" s="269"/>
      <c r="D33" s="270"/>
      <c r="E33" s="262" t="s">
        <v>7</v>
      </c>
      <c r="F33" s="262" t="s">
        <v>8</v>
      </c>
      <c r="G33" s="437" t="s">
        <v>9</v>
      </c>
      <c r="H33" s="437"/>
      <c r="I33" s="438" t="s">
        <v>10</v>
      </c>
      <c r="J33" s="439"/>
      <c r="K33" s="437" t="s">
        <v>11</v>
      </c>
      <c r="L33" s="437"/>
      <c r="M33" s="271" t="s">
        <v>12</v>
      </c>
      <c r="N33" s="304"/>
      <c r="O33" s="272" t="s">
        <v>230</v>
      </c>
      <c r="P33" s="273" t="s">
        <v>11</v>
      </c>
      <c r="Q33" s="274" t="s">
        <v>231</v>
      </c>
      <c r="R33" s="71"/>
      <c r="S33" s="434"/>
      <c r="T33" s="435"/>
      <c r="U33" s="435"/>
      <c r="V33" s="435"/>
      <c r="W33" s="436"/>
      <c r="X33" s="71"/>
      <c r="CL33" s="65"/>
      <c r="CM33" s="65"/>
      <c r="CN33" s="65"/>
      <c r="CO33" s="65"/>
      <c r="CP33" s="65"/>
      <c r="CQ33" s="65"/>
      <c r="CR33" s="65"/>
      <c r="CS33" s="65"/>
      <c r="CT33" s="65"/>
      <c r="CU33" s="65"/>
      <c r="CV33" s="65"/>
    </row>
    <row r="34" spans="1:100" ht="12.75" customHeight="1">
      <c r="A34" s="275" t="s">
        <v>15</v>
      </c>
      <c r="B34" s="307"/>
      <c r="C34" s="62"/>
      <c r="D34" s="276" t="s">
        <v>16</v>
      </c>
      <c r="E34" s="277">
        <f>SUM(120*8/(8+B35))</f>
        <v>120</v>
      </c>
      <c r="F34" s="278"/>
      <c r="G34" s="279">
        <f>SUM(E34)</f>
        <v>120</v>
      </c>
      <c r="H34" s="280" t="s">
        <v>17</v>
      </c>
      <c r="I34" s="420"/>
      <c r="J34" s="421"/>
      <c r="K34" s="395">
        <f>SUM(1440/G34)*I34</f>
        <v>0</v>
      </c>
      <c r="L34" s="396"/>
      <c r="M34" s="281">
        <v>1</v>
      </c>
      <c r="N34" s="305"/>
      <c r="O34" s="282">
        <f>SUM(1440/(120*8/(8+B35-1)))*I34</f>
        <v>0</v>
      </c>
      <c r="P34" s="282">
        <f>SUM(1440/G34)*I34</f>
        <v>0</v>
      </c>
      <c r="Q34" s="283">
        <f>SUM(1440/(120*8/(8+B35+1)))*I34</f>
        <v>0</v>
      </c>
      <c r="R34" s="71"/>
      <c r="S34" s="427" t="s">
        <v>60</v>
      </c>
      <c r="T34" s="428"/>
      <c r="U34" s="428"/>
      <c r="V34" s="428"/>
      <c r="W34" s="429"/>
      <c r="X34" s="71"/>
      <c r="CL34" s="65"/>
      <c r="CM34" s="65"/>
      <c r="CN34" s="65"/>
      <c r="CO34" s="65"/>
      <c r="CP34" s="65"/>
      <c r="CQ34" s="65"/>
      <c r="CR34" s="65"/>
      <c r="CS34" s="65"/>
      <c r="CT34" s="65"/>
      <c r="CU34" s="65"/>
      <c r="CV34" s="65"/>
    </row>
    <row r="35" spans="1:100" ht="12.75" customHeight="1">
      <c r="A35" s="275" t="s">
        <v>20</v>
      </c>
      <c r="B35" s="308"/>
      <c r="C35" s="62"/>
      <c r="D35" s="276" t="s">
        <v>21</v>
      </c>
      <c r="E35" s="277">
        <f>SUM(119.466*8/(8+B35))</f>
        <v>119.466</v>
      </c>
      <c r="F35" s="284">
        <f>SUM(89.6*8/(8+B36))</f>
        <v>89.6</v>
      </c>
      <c r="G35" s="279">
        <f>SUM(E35+F35)</f>
        <v>209.06599999999997</v>
      </c>
      <c r="H35" s="280" t="s">
        <v>17</v>
      </c>
      <c r="I35" s="420"/>
      <c r="J35" s="421"/>
      <c r="K35" s="395">
        <f>SUM(1440/G35)*I35</f>
        <v>0</v>
      </c>
      <c r="L35" s="396"/>
      <c r="M35" s="281">
        <f>SUM(G35/G34)</f>
        <v>1.7422166666666665</v>
      </c>
      <c r="N35" s="305"/>
      <c r="O35" s="282">
        <f>SUM(1440/((119.466*8/(8+B35-1))+(89.6*8/(8+B36-1))))*I35</f>
        <v>0</v>
      </c>
      <c r="P35" s="282">
        <f>SUM(1440/G35)*I35</f>
        <v>0</v>
      </c>
      <c r="Q35" s="283">
        <f>SUM(1440/((119.466*8/(8+B35+1))+(89.6*8/(8+B36+1))))*I35</f>
        <v>0</v>
      </c>
      <c r="R35" s="71"/>
      <c r="S35" s="427"/>
      <c r="T35" s="428"/>
      <c r="U35" s="428"/>
      <c r="V35" s="428"/>
      <c r="W35" s="429"/>
      <c r="X35" s="71"/>
      <c r="CL35" s="65"/>
      <c r="CM35" s="65"/>
      <c r="CN35" s="65"/>
      <c r="CO35" s="65"/>
      <c r="CP35" s="65"/>
      <c r="CQ35" s="65"/>
      <c r="CR35" s="65"/>
      <c r="CS35" s="65"/>
      <c r="CT35" s="65"/>
      <c r="CU35" s="65"/>
      <c r="CV35" s="65"/>
    </row>
    <row r="36" spans="1:100" ht="13.5" customHeight="1">
      <c r="A36" s="275" t="s">
        <v>24</v>
      </c>
      <c r="B36" s="308"/>
      <c r="C36" s="62"/>
      <c r="D36" s="276" t="s">
        <v>25</v>
      </c>
      <c r="E36" s="277">
        <f>SUM(160*8/(8+B35))</f>
        <v>160</v>
      </c>
      <c r="F36" s="277">
        <f>SUM(106.6666667*8/(8+B36))</f>
        <v>106.6666667</v>
      </c>
      <c r="G36" s="279">
        <f>SUM(E36+F36)</f>
        <v>266.6666667</v>
      </c>
      <c r="H36" s="280" t="s">
        <v>17</v>
      </c>
      <c r="I36" s="420"/>
      <c r="J36" s="421"/>
      <c r="K36" s="395">
        <f>SUM(1440/G36)*I36</f>
        <v>0</v>
      </c>
      <c r="L36" s="396"/>
      <c r="M36" s="281">
        <f>SUM(G36/G34)</f>
        <v>2.2222222225</v>
      </c>
      <c r="N36" s="305"/>
      <c r="O36" s="282">
        <f>SUM(1440/((160*8/(8+B35-1))+(106.6666667*8/(8+B36-1))))*I36</f>
        <v>0</v>
      </c>
      <c r="P36" s="282">
        <f>SUM(1440/G36)*I36</f>
        <v>0</v>
      </c>
      <c r="Q36" s="283">
        <f>SUM(1440/((160*8/(8+B35+1))+(106.6666667*8/(8+B36+1))))*I36</f>
        <v>0</v>
      </c>
      <c r="R36" s="71"/>
      <c r="S36" s="427"/>
      <c r="T36" s="428"/>
      <c r="U36" s="428"/>
      <c r="V36" s="428"/>
      <c r="W36" s="429"/>
      <c r="X36" s="71"/>
      <c r="CL36" s="65"/>
      <c r="CM36" s="65"/>
      <c r="CN36" s="65"/>
      <c r="CO36" s="65"/>
      <c r="CP36" s="65"/>
      <c r="CQ36" s="65"/>
      <c r="CR36" s="65"/>
      <c r="CS36" s="65"/>
      <c r="CT36" s="65"/>
      <c r="CU36" s="65"/>
      <c r="CV36" s="65"/>
    </row>
    <row r="37" spans="1:100" ht="12.75" customHeight="1" thickBot="1">
      <c r="A37" s="275" t="s">
        <v>28</v>
      </c>
      <c r="B37" s="308"/>
      <c r="C37" s="62"/>
      <c r="D37" s="276" t="s">
        <v>29</v>
      </c>
      <c r="E37" s="277">
        <f>SUM(341.333*8/(8+B35))</f>
        <v>341.333</v>
      </c>
      <c r="F37" s="277">
        <f>SUM(32*8/(8+B36))</f>
        <v>32</v>
      </c>
      <c r="G37" s="279">
        <f>SUM(E37+F37)</f>
        <v>373.333</v>
      </c>
      <c r="H37" s="280" t="s">
        <v>17</v>
      </c>
      <c r="I37" s="420"/>
      <c r="J37" s="421"/>
      <c r="K37" s="395">
        <f>SUM(1440/G37)*I37</f>
        <v>0</v>
      </c>
      <c r="L37" s="396"/>
      <c r="M37" s="281">
        <f>SUM(G37/G34)</f>
        <v>3.1111083333333336</v>
      </c>
      <c r="N37" s="305"/>
      <c r="O37" s="282">
        <f>SUM(1440/((341.333*8/(8+B35-1))+(32*8/(8+B36-1))))*I37</f>
        <v>0</v>
      </c>
      <c r="P37" s="286">
        <f>SUM(1440/G37)*I37</f>
        <v>0</v>
      </c>
      <c r="Q37" s="283">
        <f>SUM(1440/((341.333*8/(8+B35+1))+(32*8/(8+B36+1))))*I37</f>
        <v>0</v>
      </c>
      <c r="R37" s="71"/>
      <c r="S37" s="427"/>
      <c r="T37" s="428"/>
      <c r="U37" s="428"/>
      <c r="V37" s="428"/>
      <c r="W37" s="429"/>
      <c r="X37" s="71"/>
      <c r="CQ37" s="65"/>
      <c r="CR37" s="65"/>
      <c r="CS37" s="65"/>
      <c r="CT37" s="65"/>
      <c r="CU37" s="65"/>
      <c r="CV37" s="65"/>
    </row>
    <row r="38" spans="1:100" ht="12.75" customHeight="1" thickBot="1">
      <c r="A38" s="288" t="s">
        <v>33</v>
      </c>
      <c r="B38" s="309"/>
      <c r="C38" s="62"/>
      <c r="D38" s="62"/>
      <c r="E38" s="62"/>
      <c r="F38" s="62"/>
      <c r="G38" s="289"/>
      <c r="H38" s="62"/>
      <c r="I38" s="62"/>
      <c r="J38" s="62"/>
      <c r="K38" s="62"/>
      <c r="L38" s="173"/>
      <c r="M38" s="62"/>
      <c r="N38" s="71"/>
      <c r="O38" s="71"/>
      <c r="P38" s="71"/>
      <c r="Q38" s="71"/>
      <c r="R38" s="71"/>
      <c r="S38" s="427"/>
      <c r="T38" s="428"/>
      <c r="U38" s="428"/>
      <c r="V38" s="428"/>
      <c r="W38" s="429"/>
      <c r="X38" s="71"/>
      <c r="CQ38" s="65"/>
      <c r="CR38" s="65"/>
      <c r="CS38" s="65"/>
      <c r="CT38" s="65"/>
      <c r="CU38" s="65"/>
      <c r="CV38" s="65"/>
    </row>
    <row r="39" spans="1:100" ht="42" customHeight="1">
      <c r="A39" s="289"/>
      <c r="B39" s="292"/>
      <c r="C39" s="438" t="s">
        <v>35</v>
      </c>
      <c r="D39" s="464"/>
      <c r="E39" s="465" t="s">
        <v>36</v>
      </c>
      <c r="F39" s="438" t="s">
        <v>37</v>
      </c>
      <c r="G39" s="464"/>
      <c r="H39" s="62"/>
      <c r="I39" s="433" t="s">
        <v>38</v>
      </c>
      <c r="J39" s="433"/>
      <c r="K39" s="433"/>
      <c r="L39" s="433"/>
      <c r="M39" s="433"/>
      <c r="N39" s="71"/>
      <c r="O39" s="397" t="s">
        <v>232</v>
      </c>
      <c r="P39" s="399" t="s">
        <v>233</v>
      </c>
      <c r="Q39" s="401" t="s">
        <v>234</v>
      </c>
      <c r="R39" s="71"/>
      <c r="S39" s="427"/>
      <c r="T39" s="428"/>
      <c r="U39" s="428"/>
      <c r="V39" s="428"/>
      <c r="W39" s="429"/>
      <c r="X39" s="71"/>
      <c r="CP39" s="65"/>
      <c r="CQ39" s="65"/>
      <c r="CR39" s="65"/>
      <c r="CS39" s="65"/>
      <c r="CT39" s="65"/>
      <c r="CU39" s="65"/>
      <c r="CV39" s="65"/>
    </row>
    <row r="40" spans="1:100" ht="12.75" customHeight="1">
      <c r="A40" s="293"/>
      <c r="B40" s="294"/>
      <c r="C40" s="295" t="s">
        <v>40</v>
      </c>
      <c r="D40" s="296" t="s">
        <v>41</v>
      </c>
      <c r="E40" s="466"/>
      <c r="F40" s="295" t="s">
        <v>40</v>
      </c>
      <c r="G40" s="296" t="s">
        <v>41</v>
      </c>
      <c r="H40" s="297"/>
      <c r="I40" s="403" t="s">
        <v>42</v>
      </c>
      <c r="J40" s="404"/>
      <c r="K40" s="405"/>
      <c r="L40" s="409" t="s">
        <v>43</v>
      </c>
      <c r="M40" s="410"/>
      <c r="N40" s="71"/>
      <c r="O40" s="398"/>
      <c r="P40" s="400"/>
      <c r="Q40" s="402"/>
      <c r="R40" s="71"/>
      <c r="S40" s="427"/>
      <c r="T40" s="428"/>
      <c r="U40" s="428"/>
      <c r="V40" s="428"/>
      <c r="W40" s="429"/>
      <c r="X40" s="71"/>
      <c r="CP40" s="65"/>
      <c r="CQ40" s="65"/>
      <c r="CR40" s="65"/>
      <c r="CS40" s="65"/>
      <c r="CT40" s="65"/>
      <c r="CU40" s="65"/>
      <c r="CV40" s="65"/>
    </row>
    <row r="41" spans="1:100" ht="13.5" customHeight="1" thickBot="1">
      <c r="A41" s="275" t="s">
        <v>45</v>
      </c>
      <c r="B41" s="308"/>
      <c r="C41" s="298">
        <f>F41*1.2</f>
        <v>0</v>
      </c>
      <c r="D41" s="298">
        <f>SUM(C41/60)</f>
        <v>0</v>
      </c>
      <c r="E41" s="298">
        <f>IF(D41=0,0,SUM(24/D41))</f>
        <v>0</v>
      </c>
      <c r="F41" s="298">
        <f>IF(B41=0,0,SUM(360*8/(7+(B41))))</f>
        <v>0</v>
      </c>
      <c r="G41" s="298">
        <f>SUM(F41/60)</f>
        <v>0</v>
      </c>
      <c r="H41" s="62"/>
      <c r="I41" s="406"/>
      <c r="J41" s="407"/>
      <c r="K41" s="408"/>
      <c r="L41" s="287" t="s">
        <v>41</v>
      </c>
      <c r="M41" s="287" t="s">
        <v>40</v>
      </c>
      <c r="N41" s="71"/>
      <c r="O41" s="299">
        <f>IF((IF(B41-1&lt;=0,0,SUM(360*8/(7+(B41-1))))/60)=0,0,SUM(24/(IF(B41-1=0,0,SUM(360*8/(7+(B41-1))))/60)))</f>
        <v>0</v>
      </c>
      <c r="P41" s="282">
        <f>IF(G41=0,0,SUM(24/G41))</f>
        <v>0</v>
      </c>
      <c r="Q41" s="283">
        <f>IF((IF(B41+1=0,0,SUM(360*8/(7+(B41+1))))/60)=0,0,SUM(24/(IF(B41+1=0,0,SUM(360*8/(7+(B41+1))))/60)))</f>
        <v>4</v>
      </c>
      <c r="R41" s="71"/>
      <c r="S41" s="430"/>
      <c r="T41" s="431"/>
      <c r="U41" s="431"/>
      <c r="V41" s="431"/>
      <c r="W41" s="432"/>
      <c r="X41" s="71"/>
      <c r="CP41" s="65"/>
      <c r="CQ41" s="65"/>
      <c r="CR41" s="65"/>
      <c r="CS41" s="65"/>
      <c r="CT41" s="65"/>
      <c r="CU41" s="65"/>
      <c r="CV41" s="65"/>
    </row>
    <row r="42" spans="1:100" ht="13.5" thickBot="1">
      <c r="A42" s="275" t="s">
        <v>47</v>
      </c>
      <c r="B42" s="308"/>
      <c r="C42" s="298">
        <f>F42*1.2</f>
        <v>0</v>
      </c>
      <c r="D42" s="298">
        <f>SUM(C42/60)</f>
        <v>0</v>
      </c>
      <c r="E42" s="298">
        <f>IF(D42=0,0,SUM(24/D42))</f>
        <v>0</v>
      </c>
      <c r="F42" s="298">
        <f>IF(B42=0,0,SUM(540*8/(7+(B42))))</f>
        <v>0</v>
      </c>
      <c r="G42" s="298">
        <f>SUM(F42/60)</f>
        <v>0</v>
      </c>
      <c r="H42" s="62"/>
      <c r="I42" s="419"/>
      <c r="J42" s="419"/>
      <c r="K42" s="419"/>
      <c r="L42" s="300">
        <f>SUM(I42*8/(B36+8))</f>
        <v>0</v>
      </c>
      <c r="M42" s="301">
        <f>SUM(L42*60)</f>
        <v>0</v>
      </c>
      <c r="N42" s="71"/>
      <c r="O42" s="299">
        <f>IF((IF(B42-1&lt;=0,0,SUM(540*8/(7+(B42-1))))/60)=0,0,SUM(24/(IF(B42-1=0,0,SUM(540*8/(7+(B42-1))))/60)))</f>
        <v>0</v>
      </c>
      <c r="P42" s="282">
        <f>IF(G42=0,0,SUM(24/G42))</f>
        <v>0</v>
      </c>
      <c r="Q42" s="283">
        <f>IF((IF(B42+1=0,0,SUM(540*8/(7+(B42+1))))/60)=0,0,SUM(24/(IF(B42+1=0,0,SUM(540*8/(7+(B42+1))))/60)))</f>
        <v>2.6666666666666665</v>
      </c>
      <c r="R42" s="173"/>
      <c r="S42" s="173"/>
      <c r="T42" s="173"/>
      <c r="U42" s="173"/>
      <c r="V42" s="173"/>
      <c r="W42" s="71"/>
      <c r="X42" s="71"/>
      <c r="CP42" s="65"/>
      <c r="CQ42" s="65"/>
      <c r="CR42" s="65"/>
      <c r="CS42" s="65"/>
      <c r="CT42" s="65"/>
      <c r="CU42" s="65"/>
      <c r="CV42" s="65"/>
    </row>
    <row r="43" spans="1:100" ht="12.75" customHeight="1">
      <c r="A43" s="275" t="s">
        <v>49</v>
      </c>
      <c r="B43" s="308"/>
      <c r="C43" s="298">
        <f>F43*1.2</f>
        <v>0</v>
      </c>
      <c r="D43" s="298">
        <f>SUM(C43/60)</f>
        <v>0</v>
      </c>
      <c r="E43" s="298">
        <f>IF(D43=0,0,SUM(24/D43))</f>
        <v>0</v>
      </c>
      <c r="F43" s="298">
        <f>IF(B43=0,0,SUM(720*8/(7+(B43))))</f>
        <v>0</v>
      </c>
      <c r="G43" s="298">
        <f>SUM(F43/60)</f>
        <v>0</v>
      </c>
      <c r="H43" s="62"/>
      <c r="I43" s="424" t="s">
        <v>50</v>
      </c>
      <c r="J43" s="425"/>
      <c r="K43" s="425"/>
      <c r="L43" s="425"/>
      <c r="M43" s="426"/>
      <c r="N43" s="71"/>
      <c r="O43" s="299">
        <f>IF((IF(B43-1&lt;=0,0,SUM(720*8/(7+(B43-1))))/60)=0,0,SUM(24/(IF(B43-1=0,0,SUM(720*8/(7+(B43-1))))/60)))</f>
        <v>0</v>
      </c>
      <c r="P43" s="282">
        <f>IF(G43=0,0,SUM(24/G43))</f>
        <v>0</v>
      </c>
      <c r="Q43" s="283">
        <f>IF((IF(B43+1=0,0,SUM(720*8/(7+(B43+1))))/60)=0,0,SUM(24/(IF(B43+1=0,0,SUM(720*8/(7+(B43+1))))/60)))</f>
        <v>2</v>
      </c>
      <c r="R43" s="71"/>
      <c r="S43" s="386" t="s">
        <v>61</v>
      </c>
      <c r="T43" s="387"/>
      <c r="U43" s="387"/>
      <c r="V43" s="387"/>
      <c r="W43" s="388"/>
      <c r="X43" s="71"/>
      <c r="CP43" s="65"/>
      <c r="CQ43" s="65"/>
      <c r="CR43" s="65"/>
      <c r="CS43" s="65"/>
      <c r="CT43" s="65"/>
      <c r="CU43" s="65"/>
      <c r="CV43" s="65"/>
    </row>
    <row r="44" spans="1:100" ht="13.5" customHeight="1">
      <c r="A44" s="275" t="s">
        <v>51</v>
      </c>
      <c r="B44" s="308"/>
      <c r="C44" s="298">
        <f>F44*1.2</f>
        <v>0</v>
      </c>
      <c r="D44" s="298">
        <f>SUM(C44/60)</f>
        <v>0</v>
      </c>
      <c r="E44" s="298">
        <f>IF(D44=0,0,SUM(24/D44))</f>
        <v>0</v>
      </c>
      <c r="F44" s="298">
        <f>IF(B44=0,0,SUM(1080*8/(7+(B44))))</f>
        <v>0</v>
      </c>
      <c r="G44" s="298">
        <f>SUM(F44/60)</f>
        <v>0</v>
      </c>
      <c r="H44" s="62"/>
      <c r="I44" s="415" t="s">
        <v>52</v>
      </c>
      <c r="J44" s="416"/>
      <c r="K44" s="419"/>
      <c r="L44" s="411">
        <f>IF(K44=0,0,SUM(((I42*24/K44)*8)/(B36+8)))</f>
        <v>0</v>
      </c>
      <c r="M44" s="413">
        <f>SUM(L44*60)</f>
        <v>0</v>
      </c>
      <c r="N44" s="303"/>
      <c r="O44" s="299">
        <f>IF((IF(B44-1&lt;=0,0,SUM(1080*8/(7+(B44-1))))/60)=0,0,SUM(24/(IF(B44-1=0,0,SUM(1080*8/(7+(B44-1))))/60)))</f>
        <v>0</v>
      </c>
      <c r="P44" s="282">
        <f>IF(G44=0,0,SUM(24/G44))</f>
        <v>0</v>
      </c>
      <c r="Q44" s="283">
        <f>IF((IF(B44+1=0,0,SUM(1080*8/(7+(B44+1))))/60)=0,0,SUM(24/(IF(B44+1=0,0,SUM(1080*8/(7+(B44+1))))/60)))</f>
        <v>1.3333333333333333</v>
      </c>
      <c r="R44" s="71"/>
      <c r="S44" s="389"/>
      <c r="T44" s="390"/>
      <c r="U44" s="390"/>
      <c r="V44" s="390"/>
      <c r="W44" s="391"/>
      <c r="X44" s="71"/>
      <c r="CP44" s="65"/>
      <c r="CQ44" s="65"/>
      <c r="CR44" s="65"/>
      <c r="CS44" s="65"/>
      <c r="CT44" s="65"/>
      <c r="CU44" s="65"/>
      <c r="CV44" s="65"/>
    </row>
    <row r="45" spans="1:100" ht="14.25" customHeight="1" thickBot="1">
      <c r="A45" s="275" t="s">
        <v>54</v>
      </c>
      <c r="B45" s="308"/>
      <c r="C45" s="298">
        <f>F45*1.2</f>
        <v>0</v>
      </c>
      <c r="D45" s="298">
        <f>SUM(C45/60)</f>
        <v>0</v>
      </c>
      <c r="E45" s="298">
        <f>IF(D45=0,0,SUM(24/D45))</f>
        <v>0</v>
      </c>
      <c r="F45" s="298">
        <f>IF(B45=0,0,SUM(900*8/(7+(B45))))</f>
        <v>0</v>
      </c>
      <c r="G45" s="298">
        <f>SUM(F45/60)</f>
        <v>0</v>
      </c>
      <c r="H45" s="62"/>
      <c r="I45" s="417"/>
      <c r="J45" s="418"/>
      <c r="K45" s="419"/>
      <c r="L45" s="412"/>
      <c r="M45" s="414"/>
      <c r="N45" s="303"/>
      <c r="O45" s="299">
        <f>IF((IF(B45-1&lt;=0,0,SUM(900*8/(7+(B45-1))))/60)=0,0,SUM(24/(IF(B45-1=0,0,SUM(900*8/(7+(B45-1))))/60)))</f>
        <v>0</v>
      </c>
      <c r="P45" s="286">
        <f>IF(G45=0,0,SUM(24/G45))</f>
        <v>0</v>
      </c>
      <c r="Q45" s="283">
        <f>IF((IF(B45+1=0,0,SUM(720*8/(7+(B45+1))))/60)=0,0,SUM(24/(IF(B45+1=0,0,SUM(720*8/(7+(B45+1))))/60)))</f>
        <v>2</v>
      </c>
      <c r="R45" s="71"/>
      <c r="S45" s="389"/>
      <c r="T45" s="390"/>
      <c r="U45" s="390"/>
      <c r="V45" s="390"/>
      <c r="W45" s="391"/>
      <c r="X45" s="71"/>
      <c r="CP45" s="65"/>
      <c r="CQ45" s="65"/>
      <c r="CR45" s="65"/>
      <c r="CS45" s="65"/>
      <c r="CT45" s="65"/>
      <c r="CU45" s="65"/>
      <c r="CV45" s="65"/>
    </row>
    <row r="46" spans="1:100" ht="14.25">
      <c r="A46" s="422" t="s">
        <v>301</v>
      </c>
      <c r="B46" s="422"/>
      <c r="C46" s="422"/>
      <c r="D46" s="422"/>
      <c r="E46" s="422"/>
      <c r="F46" s="422"/>
      <c r="G46" s="422"/>
      <c r="H46" s="422"/>
      <c r="I46" s="422"/>
      <c r="J46" s="422"/>
      <c r="K46" s="422"/>
      <c r="L46" s="422"/>
      <c r="M46" s="422"/>
      <c r="N46" s="259"/>
      <c r="O46" s="71"/>
      <c r="P46" s="71"/>
      <c r="Q46" s="71"/>
      <c r="R46" s="71"/>
      <c r="S46" s="389"/>
      <c r="T46" s="390"/>
      <c r="U46" s="390"/>
      <c r="V46" s="390"/>
      <c r="W46" s="391"/>
      <c r="X46" s="71"/>
      <c r="CQ46" s="65"/>
      <c r="CR46" s="65"/>
      <c r="CS46" s="65"/>
      <c r="CT46" s="65"/>
      <c r="CU46" s="65"/>
      <c r="CV46" s="65"/>
    </row>
    <row r="47" spans="1:100" ht="26.25" thickBot="1">
      <c r="A47" s="423" t="s">
        <v>62</v>
      </c>
      <c r="B47" s="423"/>
      <c r="C47" s="262" t="s">
        <v>2</v>
      </c>
      <c r="D47" s="195">
        <f>SUM(B49*70)</f>
        <v>0</v>
      </c>
      <c r="E47" s="263"/>
      <c r="F47" s="71"/>
      <c r="G47" s="71"/>
      <c r="H47" s="71"/>
      <c r="I47" s="71"/>
      <c r="J47" s="71"/>
      <c r="K47" s="71"/>
      <c r="L47" s="264"/>
      <c r="M47" s="71"/>
      <c r="N47" s="71"/>
      <c r="O47" s="71"/>
      <c r="P47" s="71"/>
      <c r="Q47" s="71"/>
      <c r="R47" s="71"/>
      <c r="S47" s="392"/>
      <c r="T47" s="393"/>
      <c r="U47" s="393"/>
      <c r="V47" s="393"/>
      <c r="W47" s="394"/>
      <c r="X47" s="71"/>
      <c r="CQ47" s="65"/>
      <c r="CR47" s="65"/>
      <c r="CS47" s="65"/>
      <c r="CT47" s="65"/>
      <c r="CU47" s="65"/>
      <c r="CV47" s="65"/>
    </row>
    <row r="48" spans="1:100" ht="29.25" customHeight="1" thickBot="1">
      <c r="A48" s="268" t="s">
        <v>5</v>
      </c>
      <c r="B48" s="268" t="s">
        <v>6</v>
      </c>
      <c r="C48" s="269"/>
      <c r="D48" s="270"/>
      <c r="E48" s="262" t="s">
        <v>7</v>
      </c>
      <c r="F48" s="262" t="s">
        <v>8</v>
      </c>
      <c r="G48" s="437" t="s">
        <v>9</v>
      </c>
      <c r="H48" s="437"/>
      <c r="I48" s="438" t="s">
        <v>10</v>
      </c>
      <c r="J48" s="439"/>
      <c r="K48" s="437" t="s">
        <v>11</v>
      </c>
      <c r="L48" s="437"/>
      <c r="M48" s="271" t="s">
        <v>12</v>
      </c>
      <c r="N48" s="304"/>
      <c r="O48" s="272" t="s">
        <v>230</v>
      </c>
      <c r="P48" s="273" t="s">
        <v>11</v>
      </c>
      <c r="Q48" s="274" t="s">
        <v>231</v>
      </c>
      <c r="R48" s="71"/>
      <c r="S48" s="71"/>
      <c r="T48" s="71"/>
      <c r="U48" s="71"/>
      <c r="V48" s="71"/>
      <c r="W48" s="71"/>
      <c r="X48" s="71"/>
      <c r="CQ48" s="65"/>
      <c r="CR48" s="65"/>
      <c r="CS48" s="65"/>
      <c r="CT48" s="65"/>
      <c r="CU48" s="65"/>
      <c r="CV48" s="65"/>
    </row>
    <row r="49" spans="1:100" ht="12.75">
      <c r="A49" s="275" t="s">
        <v>15</v>
      </c>
      <c r="B49" s="307"/>
      <c r="C49" s="62"/>
      <c r="D49" s="276" t="s">
        <v>16</v>
      </c>
      <c r="E49" s="277">
        <f>SUM(120*8/(8+B50))</f>
        <v>120</v>
      </c>
      <c r="F49" s="278"/>
      <c r="G49" s="279">
        <f>SUM(E49)</f>
        <v>120</v>
      </c>
      <c r="H49" s="280" t="s">
        <v>17</v>
      </c>
      <c r="I49" s="420"/>
      <c r="J49" s="421"/>
      <c r="K49" s="395">
        <f>SUM(1440/G49)*I49</f>
        <v>0</v>
      </c>
      <c r="L49" s="396"/>
      <c r="M49" s="281">
        <v>1</v>
      </c>
      <c r="N49" s="305"/>
      <c r="O49" s="282">
        <f>SUM(1440/(120*8/(8+B50-1)))*I49</f>
        <v>0</v>
      </c>
      <c r="P49" s="282">
        <f>SUM(1440/G49)*I49</f>
        <v>0</v>
      </c>
      <c r="Q49" s="283">
        <f>SUM(1440/(120*8/(8+B50+1)))*I49</f>
        <v>0</v>
      </c>
      <c r="R49" s="71"/>
      <c r="S49" s="386" t="s">
        <v>466</v>
      </c>
      <c r="T49" s="387"/>
      <c r="U49" s="387"/>
      <c r="V49" s="387"/>
      <c r="W49" s="388"/>
      <c r="X49" s="71"/>
      <c r="CQ49" s="65"/>
      <c r="CR49" s="65"/>
      <c r="CS49" s="65"/>
      <c r="CT49" s="65"/>
      <c r="CU49" s="65"/>
      <c r="CV49" s="65"/>
    </row>
    <row r="50" spans="1:100" ht="12.75">
      <c r="A50" s="275" t="s">
        <v>20</v>
      </c>
      <c r="B50" s="308"/>
      <c r="C50" s="62"/>
      <c r="D50" s="276" t="s">
        <v>21</v>
      </c>
      <c r="E50" s="277">
        <f>SUM(119.466*8/(8+B50))</f>
        <v>119.466</v>
      </c>
      <c r="F50" s="284">
        <f>SUM(89.6*8/(8+B51))</f>
        <v>89.6</v>
      </c>
      <c r="G50" s="279">
        <f>SUM(E50+F50)</f>
        <v>209.06599999999997</v>
      </c>
      <c r="H50" s="280" t="s">
        <v>17</v>
      </c>
      <c r="I50" s="420"/>
      <c r="J50" s="421"/>
      <c r="K50" s="395">
        <f>SUM(1440/G50)*I50</f>
        <v>0</v>
      </c>
      <c r="L50" s="396"/>
      <c r="M50" s="281">
        <f>SUM(G50/G49)</f>
        <v>1.7422166666666665</v>
      </c>
      <c r="N50" s="305"/>
      <c r="O50" s="282">
        <f>SUM(1440/((119.466*8/(8+B50-1))+(89.6*8/(8+B51-1))))*I50</f>
        <v>0</v>
      </c>
      <c r="P50" s="282">
        <f>SUM(1440/G50)*I50</f>
        <v>0</v>
      </c>
      <c r="Q50" s="283">
        <f>SUM(1440/((119.466*8/(8+B50+1))+(89.6*8/(8+B51+1))))*I50</f>
        <v>0</v>
      </c>
      <c r="R50" s="71"/>
      <c r="S50" s="389"/>
      <c r="T50" s="390"/>
      <c r="U50" s="390"/>
      <c r="V50" s="390"/>
      <c r="W50" s="391"/>
      <c r="X50" s="71"/>
      <c r="CQ50" s="65"/>
      <c r="CR50" s="65"/>
      <c r="CS50" s="65"/>
      <c r="CT50" s="65"/>
      <c r="CU50" s="65"/>
      <c r="CV50" s="65"/>
    </row>
    <row r="51" spans="1:100" ht="12.75">
      <c r="A51" s="275" t="s">
        <v>24</v>
      </c>
      <c r="B51" s="308"/>
      <c r="C51" s="62"/>
      <c r="D51" s="276" t="s">
        <v>25</v>
      </c>
      <c r="E51" s="277">
        <f>SUM(160*8/(8+B50))</f>
        <v>160</v>
      </c>
      <c r="F51" s="277">
        <f>SUM(106.6666667*8/(8+B51))</f>
        <v>106.6666667</v>
      </c>
      <c r="G51" s="279">
        <f>SUM(E51+F51)</f>
        <v>266.6666667</v>
      </c>
      <c r="H51" s="280" t="s">
        <v>17</v>
      </c>
      <c r="I51" s="420"/>
      <c r="J51" s="421"/>
      <c r="K51" s="395">
        <f>SUM(1440/G51)*I51</f>
        <v>0</v>
      </c>
      <c r="L51" s="396"/>
      <c r="M51" s="281">
        <f>SUM(G51/G49)</f>
        <v>2.2222222225</v>
      </c>
      <c r="N51" s="305"/>
      <c r="O51" s="282">
        <f>SUM(1440/((160*8/(8+B50-1))+(106.6666667*8/(8+B51-1))))*I51</f>
        <v>0</v>
      </c>
      <c r="P51" s="282">
        <f>SUM(1440/G51)*I51</f>
        <v>0</v>
      </c>
      <c r="Q51" s="283">
        <f>SUM(1440/((160*8/(8+B50+1))+(106.6666667*8/(8+B51+1))))*I51</f>
        <v>0</v>
      </c>
      <c r="R51" s="71"/>
      <c r="S51" s="389"/>
      <c r="T51" s="390"/>
      <c r="U51" s="390"/>
      <c r="V51" s="390"/>
      <c r="W51" s="391"/>
      <c r="X51" s="71"/>
      <c r="CQ51" s="65"/>
      <c r="CR51" s="65"/>
      <c r="CS51" s="65"/>
      <c r="CT51" s="65"/>
      <c r="CU51" s="65"/>
      <c r="CV51" s="65"/>
    </row>
    <row r="52" spans="1:100" ht="13.5" thickBot="1">
      <c r="A52" s="275" t="s">
        <v>28</v>
      </c>
      <c r="B52" s="308"/>
      <c r="C52" s="62"/>
      <c r="D52" s="276" t="s">
        <v>29</v>
      </c>
      <c r="E52" s="277">
        <f>SUM(341.333*8/(8+B50))</f>
        <v>341.333</v>
      </c>
      <c r="F52" s="277">
        <f>SUM(32*8/(8+B51))</f>
        <v>32</v>
      </c>
      <c r="G52" s="279">
        <f>SUM(E52+F52)</f>
        <v>373.333</v>
      </c>
      <c r="H52" s="280" t="s">
        <v>17</v>
      </c>
      <c r="I52" s="420"/>
      <c r="J52" s="421"/>
      <c r="K52" s="395">
        <f>SUM(1440/G52)*I52</f>
        <v>0</v>
      </c>
      <c r="L52" s="396"/>
      <c r="M52" s="281">
        <f>SUM(G52/G49)</f>
        <v>3.1111083333333336</v>
      </c>
      <c r="N52" s="305"/>
      <c r="O52" s="282">
        <f>SUM(1440/((341.333*8/(8+B50-1))+(32*8/(8+B51-1))))*I52</f>
        <v>0</v>
      </c>
      <c r="P52" s="286">
        <f>SUM(1440/G52)*I52</f>
        <v>0</v>
      </c>
      <c r="Q52" s="283">
        <f>SUM(1440/((341.333*8/(8+B50+1))+(32*8/(8+B51+1))))*I52</f>
        <v>0</v>
      </c>
      <c r="R52" s="71"/>
      <c r="S52" s="389"/>
      <c r="T52" s="390"/>
      <c r="U52" s="390"/>
      <c r="V52" s="390"/>
      <c r="W52" s="391"/>
      <c r="X52" s="71"/>
      <c r="CQ52" s="65"/>
      <c r="CR52" s="65"/>
      <c r="CS52" s="65"/>
      <c r="CT52" s="65"/>
      <c r="CU52" s="65"/>
      <c r="CV52" s="65"/>
    </row>
    <row r="53" spans="1:100" ht="13.5" thickBot="1">
      <c r="A53" s="288" t="s">
        <v>33</v>
      </c>
      <c r="B53" s="309"/>
      <c r="C53" s="62"/>
      <c r="D53" s="62"/>
      <c r="E53" s="62"/>
      <c r="F53" s="62"/>
      <c r="G53" s="289"/>
      <c r="H53" s="62"/>
      <c r="I53" s="62"/>
      <c r="J53" s="62"/>
      <c r="K53" s="62"/>
      <c r="L53" s="173"/>
      <c r="M53" s="62"/>
      <c r="N53" s="71"/>
      <c r="O53" s="71"/>
      <c r="P53" s="71"/>
      <c r="Q53" s="71"/>
      <c r="R53" s="71"/>
      <c r="S53" s="392"/>
      <c r="T53" s="393"/>
      <c r="U53" s="393"/>
      <c r="V53" s="393"/>
      <c r="W53" s="394"/>
      <c r="X53" s="71"/>
      <c r="CQ53" s="65"/>
      <c r="CR53" s="65"/>
      <c r="CS53" s="65"/>
      <c r="CT53" s="65"/>
      <c r="CU53" s="65"/>
      <c r="CV53" s="65"/>
    </row>
    <row r="54" spans="1:100" ht="39" customHeight="1">
      <c r="A54" s="289"/>
      <c r="B54" s="292"/>
      <c r="C54" s="438" t="s">
        <v>35</v>
      </c>
      <c r="D54" s="464"/>
      <c r="E54" s="465" t="s">
        <v>36</v>
      </c>
      <c r="F54" s="438" t="s">
        <v>37</v>
      </c>
      <c r="G54" s="464"/>
      <c r="H54" s="62"/>
      <c r="I54" s="433" t="s">
        <v>38</v>
      </c>
      <c r="J54" s="433"/>
      <c r="K54" s="433"/>
      <c r="L54" s="433"/>
      <c r="M54" s="433"/>
      <c r="N54" s="71"/>
      <c r="O54" s="397" t="s">
        <v>232</v>
      </c>
      <c r="P54" s="399" t="s">
        <v>233</v>
      </c>
      <c r="Q54" s="401" t="s">
        <v>234</v>
      </c>
      <c r="R54" s="71"/>
      <c r="S54" s="71"/>
      <c r="T54" s="71"/>
      <c r="U54" s="71"/>
      <c r="V54" s="71"/>
      <c r="W54" s="71"/>
      <c r="X54" s="71"/>
      <c r="CP54" s="65"/>
      <c r="CQ54" s="65"/>
      <c r="CR54" s="65"/>
      <c r="CS54" s="65"/>
      <c r="CT54" s="65"/>
      <c r="CU54" s="65"/>
      <c r="CV54" s="65"/>
    </row>
    <row r="55" spans="1:100" ht="12.75" customHeight="1">
      <c r="A55" s="293"/>
      <c r="B55" s="294"/>
      <c r="C55" s="295" t="s">
        <v>40</v>
      </c>
      <c r="D55" s="296" t="s">
        <v>41</v>
      </c>
      <c r="E55" s="466"/>
      <c r="F55" s="295" t="s">
        <v>40</v>
      </c>
      <c r="G55" s="296" t="s">
        <v>41</v>
      </c>
      <c r="H55" s="297"/>
      <c r="I55" s="403" t="s">
        <v>42</v>
      </c>
      <c r="J55" s="404"/>
      <c r="K55" s="405"/>
      <c r="L55" s="409" t="s">
        <v>43</v>
      </c>
      <c r="M55" s="410"/>
      <c r="N55" s="71"/>
      <c r="O55" s="398"/>
      <c r="P55" s="400"/>
      <c r="Q55" s="402"/>
      <c r="R55" s="71"/>
      <c r="S55" s="71"/>
      <c r="T55" s="71"/>
      <c r="U55" s="71"/>
      <c r="V55" s="71"/>
      <c r="W55" s="71"/>
      <c r="X55" s="71"/>
      <c r="CP55" s="65"/>
      <c r="CQ55" s="65"/>
      <c r="CR55" s="65"/>
      <c r="CS55" s="65"/>
      <c r="CT55" s="65"/>
      <c r="CU55" s="65"/>
      <c r="CV55" s="65"/>
    </row>
    <row r="56" spans="1:100" ht="12.75">
      <c r="A56" s="275" t="s">
        <v>45</v>
      </c>
      <c r="B56" s="308"/>
      <c r="C56" s="298">
        <f>F56*1.2</f>
        <v>0</v>
      </c>
      <c r="D56" s="298">
        <f>SUM(C56/60)</f>
        <v>0</v>
      </c>
      <c r="E56" s="298">
        <f>IF(D56=0,0,SUM(24/D56))</f>
        <v>0</v>
      </c>
      <c r="F56" s="298">
        <f>IF(B56=0,0,SUM(360*8/(7+(B56))))</f>
        <v>0</v>
      </c>
      <c r="G56" s="298">
        <f>SUM(F56/60)</f>
        <v>0</v>
      </c>
      <c r="H56" s="62"/>
      <c r="I56" s="406"/>
      <c r="J56" s="407"/>
      <c r="K56" s="408"/>
      <c r="L56" s="287" t="s">
        <v>41</v>
      </c>
      <c r="M56" s="287" t="s">
        <v>40</v>
      </c>
      <c r="N56" s="71"/>
      <c r="O56" s="299">
        <f>IF((IF(B56-1&lt;=0,0,SUM(360*8/(7+(B56-1))))/60)=0,0,SUM(24/(IF(B56-1=0,0,SUM(360*8/(7+(B56-1))))/60)))</f>
        <v>0</v>
      </c>
      <c r="P56" s="282">
        <f>IF(G56=0,0,SUM(24/G56))</f>
        <v>0</v>
      </c>
      <c r="Q56" s="283">
        <f>IF((IF(B56+1=0,0,SUM(360*8/(7+(B56+1))))/60)=0,0,SUM(24/(IF(B56+1=0,0,SUM(360*8/(7+(B56+1))))/60)))</f>
        <v>4</v>
      </c>
      <c r="R56" s="71"/>
      <c r="S56" s="71"/>
      <c r="T56" s="71"/>
      <c r="U56" s="71"/>
      <c r="V56" s="71"/>
      <c r="W56" s="71"/>
      <c r="X56" s="71"/>
      <c r="CP56" s="65"/>
      <c r="CQ56" s="65"/>
      <c r="CR56" s="65"/>
      <c r="CS56" s="65"/>
      <c r="CT56" s="65"/>
      <c r="CU56" s="65"/>
      <c r="CV56" s="65"/>
    </row>
    <row r="57" spans="1:100" ht="12.75">
      <c r="A57" s="275" t="s">
        <v>47</v>
      </c>
      <c r="B57" s="308"/>
      <c r="C57" s="298">
        <f>F57*1.2</f>
        <v>0</v>
      </c>
      <c r="D57" s="298">
        <f>SUM(C57/60)</f>
        <v>0</v>
      </c>
      <c r="E57" s="298">
        <f>IF(D57=0,0,SUM(24/D57))</f>
        <v>0</v>
      </c>
      <c r="F57" s="298">
        <f>IF(B57=0,0,SUM(540*8/(7+(B57))))</f>
        <v>0</v>
      </c>
      <c r="G57" s="298">
        <f>SUM(F57/60)</f>
        <v>0</v>
      </c>
      <c r="H57" s="62"/>
      <c r="I57" s="419"/>
      <c r="J57" s="419"/>
      <c r="K57" s="419"/>
      <c r="L57" s="300">
        <f>SUM(I57*8/(B51+8))</f>
        <v>0</v>
      </c>
      <c r="M57" s="301">
        <f>SUM(L57*60)</f>
        <v>0</v>
      </c>
      <c r="N57" s="71"/>
      <c r="O57" s="299">
        <f>IF((IF(B57-1&lt;=0,0,SUM(540*8/(7+(B57-1))))/60)=0,0,SUM(24/(IF(B57-1=0,0,SUM(540*8/(7+(B57-1))))/60)))</f>
        <v>0</v>
      </c>
      <c r="P57" s="282">
        <f>IF(G57=0,0,SUM(24/G57))</f>
        <v>0</v>
      </c>
      <c r="Q57" s="283">
        <f>IF((IF(B57+1=0,0,SUM(540*8/(7+(B57+1))))/60)=0,0,SUM(24/(IF(B57+1=0,0,SUM(540*8/(7+(B57+1))))/60)))</f>
        <v>2.6666666666666665</v>
      </c>
      <c r="R57" s="71"/>
      <c r="S57" s="71"/>
      <c r="T57" s="71"/>
      <c r="U57" s="71"/>
      <c r="V57" s="71"/>
      <c r="W57" s="71"/>
      <c r="X57" s="71"/>
      <c r="CP57" s="65"/>
      <c r="CQ57" s="65"/>
      <c r="CR57" s="65"/>
      <c r="CS57" s="65"/>
      <c r="CT57" s="65"/>
      <c r="CU57" s="65"/>
      <c r="CV57" s="65"/>
    </row>
    <row r="58" spans="1:100" ht="12.75">
      <c r="A58" s="275" t="s">
        <v>49</v>
      </c>
      <c r="B58" s="308"/>
      <c r="C58" s="298">
        <f>F58*1.2</f>
        <v>0</v>
      </c>
      <c r="D58" s="298">
        <f>SUM(C58/60)</f>
        <v>0</v>
      </c>
      <c r="E58" s="298">
        <f>IF(D58=0,0,SUM(24/D58))</f>
        <v>0</v>
      </c>
      <c r="F58" s="298">
        <f>IF(B58=0,0,SUM(720*8/(7+(B58))))</f>
        <v>0</v>
      </c>
      <c r="G58" s="298">
        <f>SUM(F58/60)</f>
        <v>0</v>
      </c>
      <c r="H58" s="62"/>
      <c r="I58" s="424" t="s">
        <v>50</v>
      </c>
      <c r="J58" s="425"/>
      <c r="K58" s="425"/>
      <c r="L58" s="425"/>
      <c r="M58" s="426"/>
      <c r="N58" s="71"/>
      <c r="O58" s="299">
        <f>IF((IF(B58-1&lt;=0,0,SUM(720*8/(7+(B58-1))))/60)=0,0,SUM(24/(IF(B58-1=0,0,SUM(720*8/(7+(B58-1))))/60)))</f>
        <v>0</v>
      </c>
      <c r="P58" s="282">
        <f>IF(G58=0,0,SUM(24/G58))</f>
        <v>0</v>
      </c>
      <c r="Q58" s="283">
        <f>IF((IF(B58+1=0,0,SUM(720*8/(7+(B58+1))))/60)=0,0,SUM(24/(IF(B58+1=0,0,SUM(720*8/(7+(B58+1))))/60)))</f>
        <v>2</v>
      </c>
      <c r="R58" s="71"/>
      <c r="S58" s="71"/>
      <c r="T58" s="71"/>
      <c r="U58" s="71"/>
      <c r="V58" s="71"/>
      <c r="W58" s="71"/>
      <c r="X58" s="71"/>
      <c r="CP58" s="65"/>
      <c r="CQ58" s="65"/>
      <c r="CR58" s="65"/>
      <c r="CS58" s="65"/>
      <c r="CT58" s="65"/>
      <c r="CU58" s="65"/>
      <c r="CV58" s="65"/>
    </row>
    <row r="59" spans="1:100" ht="12.75" customHeight="1">
      <c r="A59" s="275" t="s">
        <v>51</v>
      </c>
      <c r="B59" s="308"/>
      <c r="C59" s="298">
        <f>F59*1.2</f>
        <v>0</v>
      </c>
      <c r="D59" s="298">
        <f>SUM(C59/60)</f>
        <v>0</v>
      </c>
      <c r="E59" s="298">
        <f>IF(D59=0,0,SUM(24/D59))</f>
        <v>0</v>
      </c>
      <c r="F59" s="298">
        <f>IF(B59=0,0,SUM(1080*8/(7+(B59))))</f>
        <v>0</v>
      </c>
      <c r="G59" s="298">
        <f>SUM(F59/60)</f>
        <v>0</v>
      </c>
      <c r="H59" s="62"/>
      <c r="I59" s="415" t="s">
        <v>52</v>
      </c>
      <c r="J59" s="416"/>
      <c r="K59" s="419"/>
      <c r="L59" s="411">
        <f>IF(K59=0,0,SUM(((I57*24/K59)*8)/(B51+8)))</f>
        <v>0</v>
      </c>
      <c r="M59" s="413">
        <f>SUM(L59*60)</f>
        <v>0</v>
      </c>
      <c r="N59" s="303"/>
      <c r="O59" s="299">
        <f>IF((IF(B59-1&lt;=0,0,SUM(1080*8/(7+(B59-1))))/60)=0,0,SUM(24/(IF(B59-1=0,0,SUM(1080*8/(7+(B59-1))))/60)))</f>
        <v>0</v>
      </c>
      <c r="P59" s="282">
        <f>IF(G59=0,0,SUM(24/G59))</f>
        <v>0</v>
      </c>
      <c r="Q59" s="283">
        <f>IF((IF(B59+1=0,0,SUM(1080*8/(7+(B59+1))))/60)=0,0,SUM(24/(IF(B59+1=0,0,SUM(1080*8/(7+(B59+1))))/60)))</f>
        <v>1.3333333333333333</v>
      </c>
      <c r="R59" s="71"/>
      <c r="S59" s="71"/>
      <c r="T59" s="71"/>
      <c r="U59" s="71"/>
      <c r="V59" s="71"/>
      <c r="W59" s="71"/>
      <c r="X59" s="71"/>
      <c r="CP59" s="65"/>
      <c r="CQ59" s="65"/>
      <c r="CR59" s="65"/>
      <c r="CS59" s="65"/>
      <c r="CT59" s="65"/>
      <c r="CU59" s="65"/>
      <c r="CV59" s="65"/>
    </row>
    <row r="60" spans="1:100" ht="12.75" customHeight="1" thickBot="1">
      <c r="A60" s="275" t="s">
        <v>54</v>
      </c>
      <c r="B60" s="308"/>
      <c r="C60" s="298">
        <f>F60*1.2</f>
        <v>0</v>
      </c>
      <c r="D60" s="298">
        <f>SUM(C60/60)</f>
        <v>0</v>
      </c>
      <c r="E60" s="298">
        <f>IF(D60=0,0,SUM(24/D60))</f>
        <v>0</v>
      </c>
      <c r="F60" s="298">
        <f>IF(B60=0,0,SUM(900*8/(7+(B60))))</f>
        <v>0</v>
      </c>
      <c r="G60" s="298">
        <f>SUM(F60/60)</f>
        <v>0</v>
      </c>
      <c r="H60" s="62"/>
      <c r="I60" s="417"/>
      <c r="J60" s="418"/>
      <c r="K60" s="419"/>
      <c r="L60" s="412"/>
      <c r="M60" s="414"/>
      <c r="N60" s="303"/>
      <c r="O60" s="299">
        <f>IF((IF(B60-1&lt;=0,0,SUM(900*8/(7+(B60-1))))/60)=0,0,SUM(24/(IF(B60-1=0,0,SUM(900*8/(7+(B60-1))))/60)))</f>
        <v>0</v>
      </c>
      <c r="P60" s="286">
        <f>IF(G60=0,0,SUM(24/G60))</f>
        <v>0</v>
      </c>
      <c r="Q60" s="283">
        <f>IF((IF(B60+1=0,0,SUM(720*8/(7+(B60+1))))/60)=0,0,SUM(24/(IF(B60+1=0,0,SUM(720*8/(7+(B60+1))))/60)))</f>
        <v>2</v>
      </c>
      <c r="R60" s="71"/>
      <c r="S60" s="71"/>
      <c r="T60" s="71"/>
      <c r="U60" s="71"/>
      <c r="V60" s="71"/>
      <c r="W60" s="71"/>
      <c r="X60" s="71"/>
      <c r="CP60" s="65"/>
      <c r="CQ60" s="65"/>
      <c r="CR60" s="65"/>
      <c r="CS60" s="65"/>
      <c r="CT60" s="65"/>
      <c r="CU60" s="65"/>
      <c r="CV60" s="65"/>
    </row>
    <row r="61" spans="1:100" ht="14.25">
      <c r="A61" s="422" t="s">
        <v>301</v>
      </c>
      <c r="B61" s="422"/>
      <c r="C61" s="422"/>
      <c r="D61" s="422"/>
      <c r="E61" s="422"/>
      <c r="F61" s="422"/>
      <c r="G61" s="422"/>
      <c r="H61" s="422"/>
      <c r="I61" s="422"/>
      <c r="J61" s="422"/>
      <c r="K61" s="422"/>
      <c r="L61" s="422"/>
      <c r="M61" s="422"/>
      <c r="N61" s="259"/>
      <c r="O61" s="71"/>
      <c r="P61" s="71"/>
      <c r="Q61" s="71"/>
      <c r="R61" s="71"/>
      <c r="S61" s="71"/>
      <c r="T61" s="71"/>
      <c r="U61" s="71"/>
      <c r="V61" s="71"/>
      <c r="W61" s="71"/>
      <c r="X61" s="71"/>
      <c r="CQ61" s="65"/>
      <c r="CR61" s="65"/>
      <c r="CS61" s="65"/>
      <c r="CT61" s="65"/>
      <c r="CU61" s="65"/>
      <c r="CV61" s="65"/>
    </row>
    <row r="62" spans="1:100" ht="26.25" thickBot="1">
      <c r="A62" s="423" t="s">
        <v>63</v>
      </c>
      <c r="B62" s="423"/>
      <c r="C62" s="262" t="s">
        <v>2</v>
      </c>
      <c r="D62" s="195">
        <f>SUM(B64*70)</f>
        <v>0</v>
      </c>
      <c r="E62" s="263"/>
      <c r="F62" s="71"/>
      <c r="G62" s="71"/>
      <c r="H62" s="71"/>
      <c r="I62" s="71"/>
      <c r="J62" s="71"/>
      <c r="K62" s="71"/>
      <c r="L62" s="264"/>
      <c r="M62" s="71"/>
      <c r="N62" s="71"/>
      <c r="O62" s="71"/>
      <c r="P62" s="71"/>
      <c r="Q62" s="71"/>
      <c r="R62" s="71"/>
      <c r="S62" s="71"/>
      <c r="T62" s="71"/>
      <c r="U62" s="71"/>
      <c r="V62" s="71"/>
      <c r="W62" s="71"/>
      <c r="X62" s="71"/>
      <c r="CQ62" s="65"/>
      <c r="CR62" s="65"/>
      <c r="CS62" s="65"/>
      <c r="CT62" s="65"/>
      <c r="CU62" s="65"/>
      <c r="CV62" s="65"/>
    </row>
    <row r="63" spans="1:100" ht="25.5" customHeight="1">
      <c r="A63" s="268" t="s">
        <v>5</v>
      </c>
      <c r="B63" s="268" t="s">
        <v>6</v>
      </c>
      <c r="C63" s="269"/>
      <c r="D63" s="270"/>
      <c r="E63" s="262" t="s">
        <v>7</v>
      </c>
      <c r="F63" s="262" t="s">
        <v>8</v>
      </c>
      <c r="G63" s="437" t="s">
        <v>9</v>
      </c>
      <c r="H63" s="437"/>
      <c r="I63" s="438" t="s">
        <v>10</v>
      </c>
      <c r="J63" s="439"/>
      <c r="K63" s="437" t="s">
        <v>11</v>
      </c>
      <c r="L63" s="437"/>
      <c r="M63" s="271" t="s">
        <v>12</v>
      </c>
      <c r="N63" s="304"/>
      <c r="O63" s="272" t="s">
        <v>230</v>
      </c>
      <c r="P63" s="273" t="s">
        <v>11</v>
      </c>
      <c r="Q63" s="274" t="s">
        <v>231</v>
      </c>
      <c r="R63" s="71"/>
      <c r="S63" s="71"/>
      <c r="T63" s="71"/>
      <c r="U63" s="71"/>
      <c r="V63" s="71"/>
      <c r="W63" s="71"/>
      <c r="X63" s="71"/>
      <c r="CQ63" s="65"/>
      <c r="CR63" s="65"/>
      <c r="CS63" s="65"/>
      <c r="CT63" s="65"/>
      <c r="CU63" s="65"/>
      <c r="CV63" s="65"/>
    </row>
    <row r="64" spans="1:100" ht="12.75">
      <c r="A64" s="275" t="s">
        <v>15</v>
      </c>
      <c r="B64" s="307"/>
      <c r="C64" s="62"/>
      <c r="D64" s="276" t="s">
        <v>16</v>
      </c>
      <c r="E64" s="277">
        <f>SUM(120*8/(8+B65))</f>
        <v>120</v>
      </c>
      <c r="F64" s="278"/>
      <c r="G64" s="279">
        <f>SUM(E64)</f>
        <v>120</v>
      </c>
      <c r="H64" s="280" t="s">
        <v>17</v>
      </c>
      <c r="I64" s="420"/>
      <c r="J64" s="421"/>
      <c r="K64" s="395">
        <f>SUM(1440/G64)*I64</f>
        <v>0</v>
      </c>
      <c r="L64" s="396"/>
      <c r="M64" s="281">
        <v>1</v>
      </c>
      <c r="N64" s="305"/>
      <c r="O64" s="282">
        <f>SUM(1440/(120*8/(8+B65-1)))*I64</f>
        <v>0</v>
      </c>
      <c r="P64" s="282">
        <f>SUM(1440/G64)*I64</f>
        <v>0</v>
      </c>
      <c r="Q64" s="283">
        <f>SUM(1440/(120*8/(8+B65+1)))*I64</f>
        <v>0</v>
      </c>
      <c r="R64" s="71"/>
      <c r="S64" s="71"/>
      <c r="T64" s="71"/>
      <c r="U64" s="71"/>
      <c r="V64" s="71"/>
      <c r="W64" s="71"/>
      <c r="X64" s="71"/>
      <c r="CQ64" s="65"/>
      <c r="CR64" s="65"/>
      <c r="CS64" s="65"/>
      <c r="CT64" s="65"/>
      <c r="CU64" s="65"/>
      <c r="CV64" s="65"/>
    </row>
    <row r="65" spans="1:100" ht="12.75">
      <c r="A65" s="275" t="s">
        <v>20</v>
      </c>
      <c r="B65" s="308"/>
      <c r="C65" s="62"/>
      <c r="D65" s="276" t="s">
        <v>21</v>
      </c>
      <c r="E65" s="277">
        <f>SUM(119.466*8/(8+B65))</f>
        <v>119.466</v>
      </c>
      <c r="F65" s="284">
        <f>SUM(89.6*8/(8+B66))</f>
        <v>89.6</v>
      </c>
      <c r="G65" s="279">
        <f>SUM(E65+F65)</f>
        <v>209.06599999999997</v>
      </c>
      <c r="H65" s="280" t="s">
        <v>17</v>
      </c>
      <c r="I65" s="420"/>
      <c r="J65" s="421"/>
      <c r="K65" s="395">
        <f>SUM(1440/G65)*I65</f>
        <v>0</v>
      </c>
      <c r="L65" s="396"/>
      <c r="M65" s="281">
        <f>SUM(G65/G64)</f>
        <v>1.7422166666666665</v>
      </c>
      <c r="N65" s="305"/>
      <c r="O65" s="282">
        <f>SUM(1440/((119.466*8/(8+B65-1))+(89.6*8/(8+B66-1))))*I65</f>
        <v>0</v>
      </c>
      <c r="P65" s="282">
        <f>SUM(1440/G65)*I65</f>
        <v>0</v>
      </c>
      <c r="Q65" s="283">
        <f>SUM(1440/((119.466*8/(8+B65+1))+(89.6*8/(8+B66+1))))*I65</f>
        <v>0</v>
      </c>
      <c r="R65" s="71"/>
      <c r="S65" s="71"/>
      <c r="T65" s="71"/>
      <c r="U65" s="71"/>
      <c r="V65" s="71"/>
      <c r="W65" s="71"/>
      <c r="X65" s="71"/>
      <c r="CQ65" s="65"/>
      <c r="CR65" s="65"/>
      <c r="CS65" s="65"/>
      <c r="CT65" s="65"/>
      <c r="CU65" s="65"/>
      <c r="CV65" s="65"/>
    </row>
    <row r="66" spans="1:100" ht="12.75">
      <c r="A66" s="275" t="s">
        <v>24</v>
      </c>
      <c r="B66" s="308"/>
      <c r="C66" s="62"/>
      <c r="D66" s="276" t="s">
        <v>25</v>
      </c>
      <c r="E66" s="277">
        <f>SUM(160*8/(8+B65))</f>
        <v>160</v>
      </c>
      <c r="F66" s="277">
        <f>SUM(106.6666667*8/(8+B66))</f>
        <v>106.6666667</v>
      </c>
      <c r="G66" s="279">
        <f>SUM(E66+F66)</f>
        <v>266.6666667</v>
      </c>
      <c r="H66" s="280" t="s">
        <v>17</v>
      </c>
      <c r="I66" s="420"/>
      <c r="J66" s="421"/>
      <c r="K66" s="395">
        <f>SUM(1440/G66)*I66</f>
        <v>0</v>
      </c>
      <c r="L66" s="396"/>
      <c r="M66" s="281">
        <f>SUM(G66/G64)</f>
        <v>2.2222222225</v>
      </c>
      <c r="N66" s="305"/>
      <c r="O66" s="282">
        <f>SUM(1440/((160*8/(8+B65-1))+(106.6666667*8/(8+B66-1))))*I66</f>
        <v>0</v>
      </c>
      <c r="P66" s="282">
        <f>SUM(1440/G66)*I66</f>
        <v>0</v>
      </c>
      <c r="Q66" s="283">
        <f>SUM(1440/((160*8/(8+B65+1))+(106.6666667*8/(8+B66+1))))*I66</f>
        <v>0</v>
      </c>
      <c r="R66" s="71"/>
      <c r="S66" s="71"/>
      <c r="T66" s="71"/>
      <c r="U66" s="71"/>
      <c r="V66" s="71"/>
      <c r="W66" s="71"/>
      <c r="X66" s="71"/>
      <c r="CQ66" s="65"/>
      <c r="CR66" s="65"/>
      <c r="CS66" s="65"/>
      <c r="CT66" s="65"/>
      <c r="CU66" s="65"/>
      <c r="CV66" s="65"/>
    </row>
    <row r="67" spans="1:100" ht="13.5" thickBot="1">
      <c r="A67" s="275" t="s">
        <v>28</v>
      </c>
      <c r="B67" s="308"/>
      <c r="C67" s="62"/>
      <c r="D67" s="276" t="s">
        <v>29</v>
      </c>
      <c r="E67" s="277">
        <f>SUM(341.333*8/(8+B65))</f>
        <v>341.333</v>
      </c>
      <c r="F67" s="277">
        <f>SUM(32*8/(8+B66))</f>
        <v>32</v>
      </c>
      <c r="G67" s="279">
        <f>SUM(E67+F67)</f>
        <v>373.333</v>
      </c>
      <c r="H67" s="280" t="s">
        <v>17</v>
      </c>
      <c r="I67" s="420"/>
      <c r="J67" s="421"/>
      <c r="K67" s="395">
        <f>SUM(1440/G67)*I67</f>
        <v>0</v>
      </c>
      <c r="L67" s="396"/>
      <c r="M67" s="281">
        <f>SUM(G67/G64)</f>
        <v>3.1111083333333336</v>
      </c>
      <c r="N67" s="305"/>
      <c r="O67" s="282">
        <f>SUM(1440/((341.333*8/(8+B65-1))+(32*8/(8+B66-1))))*I67</f>
        <v>0</v>
      </c>
      <c r="P67" s="286">
        <f>SUM(1440/G67)*I67</f>
        <v>0</v>
      </c>
      <c r="Q67" s="283">
        <f>SUM(1440/((341.333*8/(8+B65+1))+(32*8/(8+B66+1))))*I67</f>
        <v>0</v>
      </c>
      <c r="R67" s="71"/>
      <c r="S67" s="71"/>
      <c r="T67" s="71"/>
      <c r="U67" s="71"/>
      <c r="V67" s="71"/>
      <c r="W67" s="71"/>
      <c r="X67" s="71"/>
      <c r="CQ67" s="65"/>
      <c r="CR67" s="65"/>
      <c r="CS67" s="65"/>
      <c r="CT67" s="65"/>
      <c r="CU67" s="65"/>
      <c r="CV67" s="65"/>
    </row>
    <row r="68" spans="1:100" ht="13.5" thickBot="1">
      <c r="A68" s="288" t="s">
        <v>33</v>
      </c>
      <c r="B68" s="309"/>
      <c r="C68" s="62"/>
      <c r="D68" s="62"/>
      <c r="E68" s="62"/>
      <c r="F68" s="62"/>
      <c r="G68" s="289"/>
      <c r="H68" s="62"/>
      <c r="I68" s="62"/>
      <c r="J68" s="62"/>
      <c r="K68" s="62"/>
      <c r="L68" s="173"/>
      <c r="M68" s="62"/>
      <c r="N68" s="71"/>
      <c r="O68" s="71"/>
      <c r="P68" s="71"/>
      <c r="Q68" s="71"/>
      <c r="R68" s="71"/>
      <c r="S68" s="71"/>
      <c r="T68" s="71"/>
      <c r="U68" s="71"/>
      <c r="V68" s="71"/>
      <c r="W68" s="71"/>
      <c r="X68" s="71"/>
      <c r="CQ68" s="65"/>
      <c r="CR68" s="65"/>
      <c r="CS68" s="65"/>
      <c r="CT68" s="65"/>
      <c r="CU68" s="65"/>
      <c r="CV68" s="65"/>
    </row>
    <row r="69" spans="1:100" ht="41.25" customHeight="1">
      <c r="A69" s="289"/>
      <c r="B69" s="292"/>
      <c r="C69" s="438" t="s">
        <v>35</v>
      </c>
      <c r="D69" s="464"/>
      <c r="E69" s="465" t="s">
        <v>36</v>
      </c>
      <c r="F69" s="438" t="s">
        <v>37</v>
      </c>
      <c r="G69" s="464"/>
      <c r="H69" s="62"/>
      <c r="I69" s="433" t="s">
        <v>38</v>
      </c>
      <c r="J69" s="433"/>
      <c r="K69" s="433"/>
      <c r="L69" s="433"/>
      <c r="M69" s="433"/>
      <c r="N69" s="71"/>
      <c r="O69" s="397" t="s">
        <v>232</v>
      </c>
      <c r="P69" s="399" t="s">
        <v>233</v>
      </c>
      <c r="Q69" s="401" t="s">
        <v>234</v>
      </c>
      <c r="R69" s="71"/>
      <c r="S69" s="71"/>
      <c r="T69" s="71"/>
      <c r="U69" s="71"/>
      <c r="V69" s="71"/>
      <c r="W69" s="71"/>
      <c r="X69" s="71"/>
      <c r="CP69" s="65"/>
      <c r="CQ69" s="65"/>
      <c r="CR69" s="65"/>
      <c r="CS69" s="65"/>
      <c r="CT69" s="65"/>
      <c r="CU69" s="65"/>
      <c r="CV69" s="65"/>
    </row>
    <row r="70" spans="1:100" ht="12.75" customHeight="1">
      <c r="A70" s="293"/>
      <c r="B70" s="294"/>
      <c r="C70" s="295" t="s">
        <v>40</v>
      </c>
      <c r="D70" s="296" t="s">
        <v>41</v>
      </c>
      <c r="E70" s="466"/>
      <c r="F70" s="295" t="s">
        <v>40</v>
      </c>
      <c r="G70" s="296" t="s">
        <v>41</v>
      </c>
      <c r="H70" s="297"/>
      <c r="I70" s="403" t="s">
        <v>42</v>
      </c>
      <c r="J70" s="404"/>
      <c r="K70" s="405"/>
      <c r="L70" s="409" t="s">
        <v>43</v>
      </c>
      <c r="M70" s="410"/>
      <c r="N70" s="71"/>
      <c r="O70" s="398"/>
      <c r="P70" s="400"/>
      <c r="Q70" s="402"/>
      <c r="R70" s="71"/>
      <c r="S70" s="71"/>
      <c r="T70" s="71"/>
      <c r="U70" s="71"/>
      <c r="V70" s="71"/>
      <c r="W70" s="71"/>
      <c r="X70" s="71"/>
      <c r="CP70" s="65"/>
      <c r="CQ70" s="65"/>
      <c r="CR70" s="65"/>
      <c r="CS70" s="65"/>
      <c r="CT70" s="65"/>
      <c r="CU70" s="65"/>
      <c r="CV70" s="65"/>
    </row>
    <row r="71" spans="1:100" ht="12.75">
      <c r="A71" s="275" t="s">
        <v>45</v>
      </c>
      <c r="B71" s="308"/>
      <c r="C71" s="298">
        <f>F71*1.2</f>
        <v>0</v>
      </c>
      <c r="D71" s="298">
        <f>SUM(C71/60)</f>
        <v>0</v>
      </c>
      <c r="E71" s="298">
        <f>IF(D71=0,0,SUM(24/D71))</f>
        <v>0</v>
      </c>
      <c r="F71" s="298">
        <f>IF(B71=0,0,SUM(360*8/(7+(B71))))</f>
        <v>0</v>
      </c>
      <c r="G71" s="298">
        <f>SUM(F71/60)</f>
        <v>0</v>
      </c>
      <c r="H71" s="62"/>
      <c r="I71" s="406"/>
      <c r="J71" s="407"/>
      <c r="K71" s="408"/>
      <c r="L71" s="287" t="s">
        <v>41</v>
      </c>
      <c r="M71" s="287" t="s">
        <v>40</v>
      </c>
      <c r="N71" s="71"/>
      <c r="O71" s="299">
        <f>IF((IF(B71-1&lt;=0,0,SUM(360*8/(7+(B71-1))))/60)=0,0,SUM(24/(IF(B71-1=0,0,SUM(360*8/(7+(B71-1))))/60)))</f>
        <v>0</v>
      </c>
      <c r="P71" s="282">
        <f>IF(G71=0,0,SUM(24/G71))</f>
        <v>0</v>
      </c>
      <c r="Q71" s="283">
        <f>IF((IF(B71+1=0,0,SUM(360*8/(7+(B71+1))))/60)=0,0,SUM(24/(IF(B71+1=0,0,SUM(360*8/(7+(B71+1))))/60)))</f>
        <v>4</v>
      </c>
      <c r="R71" s="71"/>
      <c r="S71" s="71"/>
      <c r="T71" s="71"/>
      <c r="U71" s="71"/>
      <c r="V71" s="71"/>
      <c r="W71" s="71"/>
      <c r="X71" s="71"/>
      <c r="CP71" s="65"/>
      <c r="CQ71" s="65"/>
      <c r="CR71" s="65"/>
      <c r="CS71" s="65"/>
      <c r="CT71" s="65"/>
      <c r="CU71" s="65"/>
      <c r="CV71" s="65"/>
    </row>
    <row r="72" spans="1:100" ht="12.75">
      <c r="A72" s="275" t="s">
        <v>47</v>
      </c>
      <c r="B72" s="308"/>
      <c r="C72" s="298">
        <f>F72*1.2</f>
        <v>0</v>
      </c>
      <c r="D72" s="298">
        <f>SUM(C72/60)</f>
        <v>0</v>
      </c>
      <c r="E72" s="298">
        <f>IF(D72=0,0,SUM(24/D72))</f>
        <v>0</v>
      </c>
      <c r="F72" s="298">
        <f>IF(B72=0,0,SUM(540*8/(7+(B72))))</f>
        <v>0</v>
      </c>
      <c r="G72" s="298">
        <f>SUM(F72/60)</f>
        <v>0</v>
      </c>
      <c r="H72" s="62"/>
      <c r="I72" s="419"/>
      <c r="J72" s="419"/>
      <c r="K72" s="419"/>
      <c r="L72" s="300">
        <f>SUM(I72*8/(B66+8))</f>
        <v>0</v>
      </c>
      <c r="M72" s="301">
        <f>SUM(L72*60)</f>
        <v>0</v>
      </c>
      <c r="N72" s="71"/>
      <c r="O72" s="299">
        <f>IF((IF(B72-1&lt;=0,0,SUM(540*8/(7+(B72-1))))/60)=0,0,SUM(24/(IF(B72-1=0,0,SUM(540*8/(7+(B72-1))))/60)))</f>
        <v>0</v>
      </c>
      <c r="P72" s="282">
        <f>IF(G72=0,0,SUM(24/G72))</f>
        <v>0</v>
      </c>
      <c r="Q72" s="283">
        <f>IF((IF(B72+1=0,0,SUM(540*8/(7+(B72+1))))/60)=0,0,SUM(24/(IF(B72+1=0,0,SUM(540*8/(7+(B72+1))))/60)))</f>
        <v>2.6666666666666665</v>
      </c>
      <c r="R72" s="71"/>
      <c r="S72" s="71"/>
      <c r="T72" s="71"/>
      <c r="U72" s="71"/>
      <c r="V72" s="71"/>
      <c r="W72" s="71"/>
      <c r="X72" s="71"/>
      <c r="CP72" s="65"/>
      <c r="CQ72" s="65"/>
      <c r="CR72" s="65"/>
      <c r="CS72" s="65"/>
      <c r="CT72" s="65"/>
      <c r="CU72" s="65"/>
      <c r="CV72" s="65"/>
    </row>
    <row r="73" spans="1:100" ht="12.75">
      <c r="A73" s="275" t="s">
        <v>49</v>
      </c>
      <c r="B73" s="308"/>
      <c r="C73" s="298">
        <f>F73*1.2</f>
        <v>0</v>
      </c>
      <c r="D73" s="298">
        <f>SUM(C73/60)</f>
        <v>0</v>
      </c>
      <c r="E73" s="298">
        <f>IF(D73=0,0,SUM(24/D73))</f>
        <v>0</v>
      </c>
      <c r="F73" s="298">
        <f>IF(B73=0,0,SUM(720*8/(7+(B73))))</f>
        <v>0</v>
      </c>
      <c r="G73" s="298">
        <f>SUM(F73/60)</f>
        <v>0</v>
      </c>
      <c r="H73" s="62"/>
      <c r="I73" s="424" t="s">
        <v>50</v>
      </c>
      <c r="J73" s="425"/>
      <c r="K73" s="425"/>
      <c r="L73" s="425"/>
      <c r="M73" s="426"/>
      <c r="N73" s="71"/>
      <c r="O73" s="299">
        <f>IF((IF(B73-1&lt;=0,0,SUM(720*8/(7+(B73-1))))/60)=0,0,SUM(24/(IF(B73-1=0,0,SUM(720*8/(7+(B73-1))))/60)))</f>
        <v>0</v>
      </c>
      <c r="P73" s="282">
        <f>IF(G73=0,0,SUM(24/G73))</f>
        <v>0</v>
      </c>
      <c r="Q73" s="283">
        <f>IF((IF(B73+1=0,0,SUM(720*8/(7+(B73+1))))/60)=0,0,SUM(24/(IF(B73+1=0,0,SUM(720*8/(7+(B73+1))))/60)))</f>
        <v>2</v>
      </c>
      <c r="R73" s="71"/>
      <c r="S73" s="71"/>
      <c r="T73" s="71"/>
      <c r="U73" s="71"/>
      <c r="V73" s="71"/>
      <c r="W73" s="71"/>
      <c r="X73" s="71"/>
      <c r="CP73" s="65"/>
      <c r="CQ73" s="65"/>
      <c r="CR73" s="65"/>
      <c r="CS73" s="65"/>
      <c r="CT73" s="65"/>
      <c r="CU73" s="65"/>
      <c r="CV73" s="65"/>
    </row>
    <row r="74" spans="1:100" ht="12.75" customHeight="1">
      <c r="A74" s="275" t="s">
        <v>51</v>
      </c>
      <c r="B74" s="308"/>
      <c r="C74" s="298">
        <f>F74*1.2</f>
        <v>0</v>
      </c>
      <c r="D74" s="298">
        <f>SUM(C74/60)</f>
        <v>0</v>
      </c>
      <c r="E74" s="298">
        <f>IF(D74=0,0,SUM(24/D74))</f>
        <v>0</v>
      </c>
      <c r="F74" s="298">
        <f>IF(B74=0,0,SUM(1080*8/(7+(B74))))</f>
        <v>0</v>
      </c>
      <c r="G74" s="298">
        <f>SUM(F74/60)</f>
        <v>0</v>
      </c>
      <c r="H74" s="62"/>
      <c r="I74" s="415" t="s">
        <v>52</v>
      </c>
      <c r="J74" s="416"/>
      <c r="K74" s="419"/>
      <c r="L74" s="411">
        <f>IF(K74=0,0,SUM(((I72*24/K74)*8)/(B66+8)))</f>
        <v>0</v>
      </c>
      <c r="M74" s="413">
        <f>SUM(L74*60)</f>
        <v>0</v>
      </c>
      <c r="N74" s="303"/>
      <c r="O74" s="299">
        <f>IF((IF(B74-1&lt;=0,0,SUM(1080*8/(7+(B74-1))))/60)=0,0,SUM(24/(IF(B74-1=0,0,SUM(1080*8/(7+(B74-1))))/60)))</f>
        <v>0</v>
      </c>
      <c r="P74" s="282">
        <f>IF(G74=0,0,SUM(24/G74))</f>
        <v>0</v>
      </c>
      <c r="Q74" s="283">
        <f>IF((IF(B74+1=0,0,SUM(1080*8/(7+(B74+1))))/60)=0,0,SUM(24/(IF(B74+1=0,0,SUM(1080*8/(7+(B74+1))))/60)))</f>
        <v>1.3333333333333333</v>
      </c>
      <c r="R74" s="71"/>
      <c r="S74" s="71"/>
      <c r="T74" s="71"/>
      <c r="U74" s="71"/>
      <c r="V74" s="71"/>
      <c r="W74" s="71"/>
      <c r="X74" s="71"/>
      <c r="CP74" s="65"/>
      <c r="CQ74" s="65"/>
      <c r="CR74" s="65"/>
      <c r="CS74" s="65"/>
      <c r="CT74" s="65"/>
      <c r="CU74" s="65"/>
      <c r="CV74" s="65"/>
    </row>
    <row r="75" spans="1:100" ht="13.5" customHeight="1" thickBot="1">
      <c r="A75" s="275" t="s">
        <v>54</v>
      </c>
      <c r="B75" s="308"/>
      <c r="C75" s="298">
        <f>F75*1.2</f>
        <v>0</v>
      </c>
      <c r="D75" s="298">
        <f>SUM(C75/60)</f>
        <v>0</v>
      </c>
      <c r="E75" s="298">
        <f>IF(D75=0,0,SUM(24/D75))</f>
        <v>0</v>
      </c>
      <c r="F75" s="298">
        <f>IF(B75=0,0,SUM(900*8/(7+(B75))))</f>
        <v>0</v>
      </c>
      <c r="G75" s="298">
        <f>SUM(F75/60)</f>
        <v>0</v>
      </c>
      <c r="H75" s="62"/>
      <c r="I75" s="417"/>
      <c r="J75" s="418"/>
      <c r="K75" s="419"/>
      <c r="L75" s="412"/>
      <c r="M75" s="414"/>
      <c r="N75" s="303"/>
      <c r="O75" s="299">
        <f>IF((IF(B75-1&lt;=0,0,SUM(900*8/(7+(B75-1))))/60)=0,0,SUM(24/(IF(B75-1=0,0,SUM(900*8/(7+(B75-1))))/60)))</f>
        <v>0</v>
      </c>
      <c r="P75" s="286">
        <f>IF(G75=0,0,SUM(24/G75))</f>
        <v>0</v>
      </c>
      <c r="Q75" s="283">
        <f>IF((IF(B75+1=0,0,SUM(720*8/(7+(B75+1))))/60)=0,0,SUM(24/(IF(B75+1=0,0,SUM(720*8/(7+(B75+1))))/60)))</f>
        <v>2</v>
      </c>
      <c r="R75" s="71"/>
      <c r="S75" s="71"/>
      <c r="T75" s="71"/>
      <c r="U75" s="71"/>
      <c r="V75" s="71"/>
      <c r="W75" s="71"/>
      <c r="X75" s="71"/>
      <c r="CP75" s="65"/>
      <c r="CQ75" s="65"/>
      <c r="CR75" s="65"/>
      <c r="CS75" s="65"/>
      <c r="CT75" s="65"/>
      <c r="CU75" s="65"/>
      <c r="CV75" s="65"/>
    </row>
    <row r="76" spans="1:100" ht="14.25">
      <c r="A76" s="422" t="s">
        <v>301</v>
      </c>
      <c r="B76" s="422"/>
      <c r="C76" s="422"/>
      <c r="D76" s="422"/>
      <c r="E76" s="422"/>
      <c r="F76" s="422"/>
      <c r="G76" s="422"/>
      <c r="H76" s="422"/>
      <c r="I76" s="422"/>
      <c r="J76" s="422"/>
      <c r="K76" s="422"/>
      <c r="L76" s="422"/>
      <c r="M76" s="422"/>
      <c r="N76" s="259"/>
      <c r="O76" s="71"/>
      <c r="P76" s="71"/>
      <c r="Q76" s="71"/>
      <c r="R76" s="71"/>
      <c r="S76" s="71"/>
      <c r="T76" s="71"/>
      <c r="U76" s="71"/>
      <c r="V76" s="71"/>
      <c r="W76" s="71"/>
      <c r="X76" s="71"/>
      <c r="CQ76" s="65"/>
      <c r="CR76" s="65"/>
      <c r="CS76" s="65"/>
      <c r="CT76" s="65"/>
      <c r="CU76" s="65"/>
      <c r="CV76" s="65"/>
    </row>
    <row r="77" spans="1:100" ht="26.25" thickBot="1">
      <c r="A77" s="423" t="s">
        <v>64</v>
      </c>
      <c r="B77" s="423"/>
      <c r="C77" s="262" t="s">
        <v>2</v>
      </c>
      <c r="D77" s="195">
        <f>SUM(B79*70)</f>
        <v>0</v>
      </c>
      <c r="E77" s="263"/>
      <c r="F77" s="71"/>
      <c r="G77" s="71"/>
      <c r="H77" s="71"/>
      <c r="I77" s="71"/>
      <c r="J77" s="71"/>
      <c r="K77" s="71"/>
      <c r="L77" s="264"/>
      <c r="M77" s="71"/>
      <c r="N77" s="71"/>
      <c r="O77" s="71"/>
      <c r="P77" s="71"/>
      <c r="Q77" s="71"/>
      <c r="R77" s="71"/>
      <c r="S77" s="71"/>
      <c r="T77" s="71"/>
      <c r="U77" s="71"/>
      <c r="V77" s="71"/>
      <c r="W77" s="71"/>
      <c r="X77" s="71"/>
      <c r="CQ77" s="65"/>
      <c r="CR77" s="65"/>
      <c r="CS77" s="65"/>
      <c r="CT77" s="65"/>
      <c r="CU77" s="65"/>
      <c r="CV77" s="65"/>
    </row>
    <row r="78" spans="1:100" ht="25.5" customHeight="1">
      <c r="A78" s="268" t="s">
        <v>5</v>
      </c>
      <c r="B78" s="268" t="s">
        <v>6</v>
      </c>
      <c r="C78" s="269"/>
      <c r="D78" s="270"/>
      <c r="E78" s="262" t="s">
        <v>7</v>
      </c>
      <c r="F78" s="262" t="s">
        <v>8</v>
      </c>
      <c r="G78" s="437" t="s">
        <v>9</v>
      </c>
      <c r="H78" s="437"/>
      <c r="I78" s="438" t="s">
        <v>10</v>
      </c>
      <c r="J78" s="439"/>
      <c r="K78" s="437" t="s">
        <v>11</v>
      </c>
      <c r="L78" s="437"/>
      <c r="M78" s="271" t="s">
        <v>12</v>
      </c>
      <c r="N78" s="304"/>
      <c r="O78" s="272" t="s">
        <v>230</v>
      </c>
      <c r="P78" s="273" t="s">
        <v>11</v>
      </c>
      <c r="Q78" s="274" t="s">
        <v>231</v>
      </c>
      <c r="R78" s="71"/>
      <c r="S78" s="71"/>
      <c r="T78" s="71"/>
      <c r="U78" s="71"/>
      <c r="V78" s="71"/>
      <c r="W78" s="71"/>
      <c r="X78" s="71"/>
      <c r="CQ78" s="65"/>
      <c r="CR78" s="65"/>
      <c r="CS78" s="65"/>
      <c r="CT78" s="65"/>
      <c r="CU78" s="65"/>
      <c r="CV78" s="65"/>
    </row>
    <row r="79" spans="1:100" ht="12.75">
      <c r="A79" s="275" t="s">
        <v>15</v>
      </c>
      <c r="B79" s="307"/>
      <c r="C79" s="62"/>
      <c r="D79" s="276" t="s">
        <v>16</v>
      </c>
      <c r="E79" s="277">
        <f>SUM(120*8/(8+B80))</f>
        <v>120</v>
      </c>
      <c r="F79" s="278"/>
      <c r="G79" s="279">
        <f>SUM(E79)</f>
        <v>120</v>
      </c>
      <c r="H79" s="280" t="s">
        <v>17</v>
      </c>
      <c r="I79" s="420"/>
      <c r="J79" s="421"/>
      <c r="K79" s="395">
        <f>SUM(1440/G79)*I79</f>
        <v>0</v>
      </c>
      <c r="L79" s="396"/>
      <c r="M79" s="281">
        <v>1</v>
      </c>
      <c r="N79" s="305"/>
      <c r="O79" s="282">
        <f>SUM(1440/(120*8/(8+B80-1)))*I79</f>
        <v>0</v>
      </c>
      <c r="P79" s="282">
        <f>SUM(1440/G79)*I79</f>
        <v>0</v>
      </c>
      <c r="Q79" s="283">
        <f>SUM(1440/(120*8/(8+B80+1)))*I79</f>
        <v>0</v>
      </c>
      <c r="R79" s="71"/>
      <c r="S79" s="71"/>
      <c r="T79" s="71"/>
      <c r="U79" s="71"/>
      <c r="V79" s="71"/>
      <c r="W79" s="71"/>
      <c r="X79" s="71"/>
      <c r="CQ79" s="65"/>
      <c r="CR79" s="65"/>
      <c r="CS79" s="65"/>
      <c r="CT79" s="65"/>
      <c r="CU79" s="65"/>
      <c r="CV79" s="65"/>
    </row>
    <row r="80" spans="1:100" ht="12.75">
      <c r="A80" s="275" t="s">
        <v>20</v>
      </c>
      <c r="B80" s="308"/>
      <c r="C80" s="62"/>
      <c r="D80" s="276" t="s">
        <v>21</v>
      </c>
      <c r="E80" s="277">
        <f>SUM(119.466*8/(8+B80))</f>
        <v>119.466</v>
      </c>
      <c r="F80" s="284">
        <f>SUM(89.6*8/(8+B81))</f>
        <v>89.6</v>
      </c>
      <c r="G80" s="279">
        <f>SUM(E80+F80)</f>
        <v>209.06599999999997</v>
      </c>
      <c r="H80" s="280" t="s">
        <v>17</v>
      </c>
      <c r="I80" s="420"/>
      <c r="J80" s="421"/>
      <c r="K80" s="395">
        <f>SUM(1440/G80)*I80</f>
        <v>0</v>
      </c>
      <c r="L80" s="396"/>
      <c r="M80" s="281">
        <f>SUM(G80/G79)</f>
        <v>1.7422166666666665</v>
      </c>
      <c r="N80" s="305"/>
      <c r="O80" s="282">
        <f>SUM(1440/((119.466*8/(8+B80-1))+(89.6*8/(8+B81-1))))*I80</f>
        <v>0</v>
      </c>
      <c r="P80" s="282">
        <f>SUM(1440/G80)*I80</f>
        <v>0</v>
      </c>
      <c r="Q80" s="283">
        <f>SUM(1440/((119.466*8/(8+B80+1))+(89.6*8/(8+B81+1))))*I80</f>
        <v>0</v>
      </c>
      <c r="R80" s="71"/>
      <c r="S80" s="71"/>
      <c r="T80" s="71"/>
      <c r="U80" s="71"/>
      <c r="V80" s="71"/>
      <c r="W80" s="71"/>
      <c r="X80" s="71"/>
      <c r="CQ80" s="65"/>
      <c r="CR80" s="65"/>
      <c r="CS80" s="65"/>
      <c r="CT80" s="65"/>
      <c r="CU80" s="65"/>
      <c r="CV80" s="65"/>
    </row>
    <row r="81" spans="1:100" ht="12.75">
      <c r="A81" s="275" t="s">
        <v>24</v>
      </c>
      <c r="B81" s="308"/>
      <c r="C81" s="62"/>
      <c r="D81" s="276" t="s">
        <v>25</v>
      </c>
      <c r="E81" s="277">
        <f>SUM(160*8/(8+B80))</f>
        <v>160</v>
      </c>
      <c r="F81" s="277">
        <f>SUM(106.6666667*8/(8+B81))</f>
        <v>106.6666667</v>
      </c>
      <c r="G81" s="279">
        <f>SUM(E81+F81)</f>
        <v>266.6666667</v>
      </c>
      <c r="H81" s="280" t="s">
        <v>17</v>
      </c>
      <c r="I81" s="420"/>
      <c r="J81" s="421"/>
      <c r="K81" s="395">
        <f>SUM(1440/G81)*I81</f>
        <v>0</v>
      </c>
      <c r="L81" s="396"/>
      <c r="M81" s="281">
        <f>SUM(G81/G79)</f>
        <v>2.2222222225</v>
      </c>
      <c r="N81" s="305"/>
      <c r="O81" s="282">
        <f>SUM(1440/((160*8/(8+B80-1))+(106.6666667*8/(8+B81-1))))*I81</f>
        <v>0</v>
      </c>
      <c r="P81" s="282">
        <f>SUM(1440/G81)*I81</f>
        <v>0</v>
      </c>
      <c r="Q81" s="283">
        <f>SUM(1440/((160*8/(8+B80+1))+(106.6666667*8/(8+B81+1))))*I81</f>
        <v>0</v>
      </c>
      <c r="R81" s="71"/>
      <c r="S81" s="71"/>
      <c r="T81" s="71"/>
      <c r="U81" s="71"/>
      <c r="V81" s="71"/>
      <c r="W81" s="71"/>
      <c r="X81" s="71"/>
      <c r="CQ81" s="65"/>
      <c r="CR81" s="65"/>
      <c r="CS81" s="65"/>
      <c r="CT81" s="65"/>
      <c r="CU81" s="65"/>
      <c r="CV81" s="65"/>
    </row>
    <row r="82" spans="1:100" ht="13.5" thickBot="1">
      <c r="A82" s="275" t="s">
        <v>28</v>
      </c>
      <c r="B82" s="308"/>
      <c r="C82" s="62"/>
      <c r="D82" s="276" t="s">
        <v>29</v>
      </c>
      <c r="E82" s="277">
        <f>SUM(341.333*8/(8+B80))</f>
        <v>341.333</v>
      </c>
      <c r="F82" s="277">
        <f>SUM(32*8/(8+B81))</f>
        <v>32</v>
      </c>
      <c r="G82" s="279">
        <f>SUM(E82+F82)</f>
        <v>373.333</v>
      </c>
      <c r="H82" s="280" t="s">
        <v>17</v>
      </c>
      <c r="I82" s="420"/>
      <c r="J82" s="421"/>
      <c r="K82" s="395">
        <f>SUM(1440/G82)*I82</f>
        <v>0</v>
      </c>
      <c r="L82" s="396"/>
      <c r="M82" s="281">
        <f>SUM(G82/G79)</f>
        <v>3.1111083333333336</v>
      </c>
      <c r="N82" s="305"/>
      <c r="O82" s="282">
        <f>SUM(1440/((341.333*8/(8+B80-1))+(32*8/(8+B81-1))))*I82</f>
        <v>0</v>
      </c>
      <c r="P82" s="286">
        <f>SUM(1440/G82)*I82</f>
        <v>0</v>
      </c>
      <c r="Q82" s="283">
        <f>SUM(1440/((341.333*8/(8+B80+1))+(32*8/(8+B81+1))))*I82</f>
        <v>0</v>
      </c>
      <c r="R82" s="71"/>
      <c r="S82" s="71"/>
      <c r="T82" s="71"/>
      <c r="U82" s="71"/>
      <c r="V82" s="71"/>
      <c r="W82" s="71"/>
      <c r="X82" s="71"/>
      <c r="CQ82" s="65"/>
      <c r="CR82" s="65"/>
      <c r="CS82" s="65"/>
      <c r="CT82" s="65"/>
      <c r="CU82" s="65"/>
      <c r="CV82" s="65"/>
    </row>
    <row r="83" spans="1:100" ht="13.5" thickBot="1">
      <c r="A83" s="288" t="s">
        <v>33</v>
      </c>
      <c r="B83" s="309"/>
      <c r="C83" s="62"/>
      <c r="D83" s="62"/>
      <c r="E83" s="62"/>
      <c r="F83" s="62"/>
      <c r="G83" s="289"/>
      <c r="H83" s="62"/>
      <c r="I83" s="62"/>
      <c r="J83" s="62"/>
      <c r="K83" s="62"/>
      <c r="L83" s="173"/>
      <c r="M83" s="62"/>
      <c r="N83" s="71"/>
      <c r="O83" s="71"/>
      <c r="P83" s="71"/>
      <c r="Q83" s="71"/>
      <c r="R83" s="71"/>
      <c r="S83" s="71"/>
      <c r="T83" s="71"/>
      <c r="U83" s="71"/>
      <c r="V83" s="71"/>
      <c r="W83" s="71"/>
      <c r="X83" s="71"/>
      <c r="CQ83" s="65"/>
      <c r="CR83" s="65"/>
      <c r="CS83" s="65"/>
      <c r="CT83" s="65"/>
      <c r="CU83" s="65"/>
      <c r="CV83" s="65"/>
    </row>
    <row r="84" spans="1:100" ht="39.75" customHeight="1">
      <c r="A84" s="289"/>
      <c r="B84" s="292"/>
      <c r="C84" s="438" t="s">
        <v>35</v>
      </c>
      <c r="D84" s="464"/>
      <c r="E84" s="465" t="s">
        <v>36</v>
      </c>
      <c r="F84" s="438" t="s">
        <v>37</v>
      </c>
      <c r="G84" s="464"/>
      <c r="H84" s="62"/>
      <c r="I84" s="433" t="s">
        <v>38</v>
      </c>
      <c r="J84" s="433"/>
      <c r="K84" s="433"/>
      <c r="L84" s="433"/>
      <c r="M84" s="433"/>
      <c r="N84" s="71"/>
      <c r="O84" s="397" t="s">
        <v>232</v>
      </c>
      <c r="P84" s="399" t="s">
        <v>233</v>
      </c>
      <c r="Q84" s="401" t="s">
        <v>234</v>
      </c>
      <c r="R84" s="71"/>
      <c r="S84" s="71"/>
      <c r="T84" s="71"/>
      <c r="U84" s="71"/>
      <c r="V84" s="71"/>
      <c r="W84" s="71"/>
      <c r="X84" s="71"/>
      <c r="CP84" s="65"/>
      <c r="CQ84" s="65"/>
      <c r="CR84" s="65"/>
      <c r="CS84" s="65"/>
      <c r="CT84" s="65"/>
      <c r="CU84" s="65"/>
      <c r="CV84" s="65"/>
    </row>
    <row r="85" spans="1:100" ht="12.75" customHeight="1">
      <c r="A85" s="293"/>
      <c r="B85" s="294"/>
      <c r="C85" s="295" t="s">
        <v>40</v>
      </c>
      <c r="D85" s="296" t="s">
        <v>41</v>
      </c>
      <c r="E85" s="466"/>
      <c r="F85" s="295" t="s">
        <v>40</v>
      </c>
      <c r="G85" s="296" t="s">
        <v>41</v>
      </c>
      <c r="H85" s="297"/>
      <c r="I85" s="403" t="s">
        <v>42</v>
      </c>
      <c r="J85" s="404"/>
      <c r="K85" s="405"/>
      <c r="L85" s="409" t="s">
        <v>43</v>
      </c>
      <c r="M85" s="410"/>
      <c r="N85" s="71"/>
      <c r="O85" s="398"/>
      <c r="P85" s="400"/>
      <c r="Q85" s="402"/>
      <c r="R85" s="71"/>
      <c r="S85" s="71"/>
      <c r="T85" s="71"/>
      <c r="U85" s="71"/>
      <c r="V85" s="71"/>
      <c r="W85" s="71"/>
      <c r="X85" s="71"/>
      <c r="CP85" s="65"/>
      <c r="CQ85" s="65"/>
      <c r="CR85" s="65"/>
      <c r="CS85" s="65"/>
      <c r="CT85" s="65"/>
      <c r="CU85" s="65"/>
      <c r="CV85" s="65"/>
    </row>
    <row r="86" spans="1:100" ht="12.75">
      <c r="A86" s="275" t="s">
        <v>45</v>
      </c>
      <c r="B86" s="308"/>
      <c r="C86" s="298">
        <f>F86*1.2</f>
        <v>0</v>
      </c>
      <c r="D86" s="298">
        <f>SUM(C86/60)</f>
        <v>0</v>
      </c>
      <c r="E86" s="298">
        <f>IF(D86=0,0,SUM(24/D86))</f>
        <v>0</v>
      </c>
      <c r="F86" s="298">
        <f>IF(B86=0,0,SUM(360*8/(7+(B86))))</f>
        <v>0</v>
      </c>
      <c r="G86" s="298">
        <f>SUM(F86/60)</f>
        <v>0</v>
      </c>
      <c r="H86" s="62"/>
      <c r="I86" s="406"/>
      <c r="J86" s="407"/>
      <c r="K86" s="408"/>
      <c r="L86" s="287" t="s">
        <v>41</v>
      </c>
      <c r="M86" s="287" t="s">
        <v>40</v>
      </c>
      <c r="N86" s="71"/>
      <c r="O86" s="299">
        <f>IF((IF(B86-1&lt;=0,0,SUM(360*8/(7+(B86-1))))/60)=0,0,SUM(24/(IF(B86-1=0,0,SUM(360*8/(7+(B86-1))))/60)))</f>
        <v>0</v>
      </c>
      <c r="P86" s="282">
        <f>IF(G86=0,0,SUM(24/G86))</f>
        <v>0</v>
      </c>
      <c r="Q86" s="283">
        <f>IF((IF(B86+1=0,0,SUM(360*8/(7+(B86+1))))/60)=0,0,SUM(24/(IF(B86+1=0,0,SUM(360*8/(7+(B86+1))))/60)))</f>
        <v>4</v>
      </c>
      <c r="R86" s="71"/>
      <c r="S86" s="71"/>
      <c r="T86" s="71"/>
      <c r="U86" s="71"/>
      <c r="V86" s="71"/>
      <c r="W86" s="71"/>
      <c r="X86" s="71"/>
      <c r="CP86" s="65"/>
      <c r="CQ86" s="65"/>
      <c r="CR86" s="65"/>
      <c r="CS86" s="65"/>
      <c r="CT86" s="65"/>
      <c r="CU86" s="65"/>
      <c r="CV86" s="65"/>
    </row>
    <row r="87" spans="1:100" ht="12.75">
      <c r="A87" s="275" t="s">
        <v>47</v>
      </c>
      <c r="B87" s="308"/>
      <c r="C87" s="298">
        <f>F87*1.2</f>
        <v>0</v>
      </c>
      <c r="D87" s="298">
        <f>SUM(C87/60)</f>
        <v>0</v>
      </c>
      <c r="E87" s="298">
        <f>IF(D87=0,0,SUM(24/D87))</f>
        <v>0</v>
      </c>
      <c r="F87" s="298">
        <f>IF(B87=0,0,SUM(540*8/(7+(B87))))</f>
        <v>0</v>
      </c>
      <c r="G87" s="298">
        <f>SUM(F87/60)</f>
        <v>0</v>
      </c>
      <c r="H87" s="62"/>
      <c r="I87" s="419"/>
      <c r="J87" s="419"/>
      <c r="K87" s="419"/>
      <c r="L87" s="300">
        <f>SUM(I87*8/(B81+8))</f>
        <v>0</v>
      </c>
      <c r="M87" s="301">
        <f>SUM(L87*60)</f>
        <v>0</v>
      </c>
      <c r="N87" s="71"/>
      <c r="O87" s="299">
        <f>IF((IF(B87-1&lt;=0,0,SUM(540*8/(7+(B87-1))))/60)=0,0,SUM(24/(IF(B87-1=0,0,SUM(540*8/(7+(B87-1))))/60)))</f>
        <v>0</v>
      </c>
      <c r="P87" s="282">
        <f>IF(G87=0,0,SUM(24/G87))</f>
        <v>0</v>
      </c>
      <c r="Q87" s="283">
        <f>IF((IF(B87+1=0,0,SUM(540*8/(7+(B87+1))))/60)=0,0,SUM(24/(IF(B87+1=0,0,SUM(540*8/(7+(B87+1))))/60)))</f>
        <v>2.6666666666666665</v>
      </c>
      <c r="R87" s="71"/>
      <c r="S87" s="71"/>
      <c r="T87" s="71"/>
      <c r="U87" s="71"/>
      <c r="V87" s="71"/>
      <c r="W87" s="71"/>
      <c r="X87" s="71"/>
      <c r="CP87" s="65"/>
      <c r="CQ87" s="65"/>
      <c r="CR87" s="65"/>
      <c r="CS87" s="65"/>
      <c r="CT87" s="65"/>
      <c r="CU87" s="65"/>
      <c r="CV87" s="65"/>
    </row>
    <row r="88" spans="1:100" ht="12.75">
      <c r="A88" s="275" t="s">
        <v>49</v>
      </c>
      <c r="B88" s="308"/>
      <c r="C88" s="298">
        <f>F88*1.2</f>
        <v>0</v>
      </c>
      <c r="D88" s="298">
        <f>SUM(C88/60)</f>
        <v>0</v>
      </c>
      <c r="E88" s="298">
        <f>IF(D88=0,0,SUM(24/D88))</f>
        <v>0</v>
      </c>
      <c r="F88" s="298">
        <f>IF(B88=0,0,SUM(720*8/(7+(B88))))</f>
        <v>0</v>
      </c>
      <c r="G88" s="298">
        <f>SUM(F88/60)</f>
        <v>0</v>
      </c>
      <c r="H88" s="62"/>
      <c r="I88" s="424" t="s">
        <v>50</v>
      </c>
      <c r="J88" s="425"/>
      <c r="K88" s="425"/>
      <c r="L88" s="425"/>
      <c r="M88" s="426"/>
      <c r="N88" s="71"/>
      <c r="O88" s="299">
        <f>IF((IF(B88-1&lt;=0,0,SUM(720*8/(7+(B88-1))))/60)=0,0,SUM(24/(IF(B88-1=0,0,SUM(720*8/(7+(B88-1))))/60)))</f>
        <v>0</v>
      </c>
      <c r="P88" s="282">
        <f>IF(G88=0,0,SUM(24/G88))</f>
        <v>0</v>
      </c>
      <c r="Q88" s="283">
        <f>IF((IF(B88+1=0,0,SUM(720*8/(7+(B88+1))))/60)=0,0,SUM(24/(IF(B88+1=0,0,SUM(720*8/(7+(B88+1))))/60)))</f>
        <v>2</v>
      </c>
      <c r="R88" s="71"/>
      <c r="S88" s="71"/>
      <c r="T88" s="71"/>
      <c r="U88" s="71"/>
      <c r="V88" s="71"/>
      <c r="W88" s="71"/>
      <c r="X88" s="71"/>
      <c r="CP88" s="65"/>
      <c r="CQ88" s="65"/>
      <c r="CR88" s="65"/>
      <c r="CS88" s="65"/>
      <c r="CT88" s="65"/>
      <c r="CU88" s="65"/>
      <c r="CV88" s="65"/>
    </row>
    <row r="89" spans="1:100" ht="12.75" customHeight="1">
      <c r="A89" s="275" t="s">
        <v>51</v>
      </c>
      <c r="B89" s="308"/>
      <c r="C89" s="298">
        <f>F89*1.2</f>
        <v>0</v>
      </c>
      <c r="D89" s="298">
        <f>SUM(C89/60)</f>
        <v>0</v>
      </c>
      <c r="E89" s="298">
        <f>IF(D89=0,0,SUM(24/D89))</f>
        <v>0</v>
      </c>
      <c r="F89" s="298">
        <f>IF(B89=0,0,SUM(1080*8/(7+(B89))))</f>
        <v>0</v>
      </c>
      <c r="G89" s="298">
        <f>SUM(F89/60)</f>
        <v>0</v>
      </c>
      <c r="H89" s="62"/>
      <c r="I89" s="415" t="s">
        <v>52</v>
      </c>
      <c r="J89" s="416"/>
      <c r="K89" s="419"/>
      <c r="L89" s="411">
        <f>IF(K89=0,0,SUM(((I87*24/K89)*8)/(B81+8)))</f>
        <v>0</v>
      </c>
      <c r="M89" s="413">
        <f>SUM(L89*60)</f>
        <v>0</v>
      </c>
      <c r="N89" s="303"/>
      <c r="O89" s="299">
        <f>IF((IF(B89-1&lt;=0,0,SUM(1080*8/(7+(B89-1))))/60)=0,0,SUM(24/(IF(B89-1=0,0,SUM(1080*8/(7+(B89-1))))/60)))</f>
        <v>0</v>
      </c>
      <c r="P89" s="282">
        <f>IF(G89=0,0,SUM(24/G89))</f>
        <v>0</v>
      </c>
      <c r="Q89" s="283">
        <f>IF((IF(B89+1=0,0,SUM(1080*8/(7+(B89+1))))/60)=0,0,SUM(24/(IF(B89+1=0,0,SUM(1080*8/(7+(B89+1))))/60)))</f>
        <v>1.3333333333333333</v>
      </c>
      <c r="R89" s="71"/>
      <c r="S89" s="71"/>
      <c r="T89" s="71"/>
      <c r="U89" s="71"/>
      <c r="V89" s="71"/>
      <c r="W89" s="71"/>
      <c r="X89" s="71"/>
      <c r="CP89" s="65"/>
      <c r="CQ89" s="65"/>
      <c r="CR89" s="65"/>
      <c r="CS89" s="65"/>
      <c r="CT89" s="65"/>
      <c r="CU89" s="65"/>
      <c r="CV89" s="65"/>
    </row>
    <row r="90" spans="1:100" ht="12" customHeight="1" thickBot="1">
      <c r="A90" s="275" t="s">
        <v>54</v>
      </c>
      <c r="B90" s="308"/>
      <c r="C90" s="298">
        <f>F90*1.2</f>
        <v>0</v>
      </c>
      <c r="D90" s="298">
        <f>SUM(C90/60)</f>
        <v>0</v>
      </c>
      <c r="E90" s="298">
        <f>IF(D90=0,0,SUM(24/D90))</f>
        <v>0</v>
      </c>
      <c r="F90" s="298">
        <f>IF(B90=0,0,SUM(900*8/(7+(B90))))</f>
        <v>0</v>
      </c>
      <c r="G90" s="298">
        <f>SUM(F90/60)</f>
        <v>0</v>
      </c>
      <c r="H90" s="62"/>
      <c r="I90" s="417"/>
      <c r="J90" s="418"/>
      <c r="K90" s="419"/>
      <c r="L90" s="412"/>
      <c r="M90" s="414"/>
      <c r="N90" s="303"/>
      <c r="O90" s="299">
        <f>IF((IF(B90-1&lt;=0,0,SUM(900*8/(7+(B90-1))))/60)=0,0,SUM(24/(IF(B90-1=0,0,SUM(900*8/(7+(B90-1))))/60)))</f>
        <v>0</v>
      </c>
      <c r="P90" s="286">
        <f>IF(G90=0,0,SUM(24/G90))</f>
        <v>0</v>
      </c>
      <c r="Q90" s="283">
        <f>IF((IF(B90+1=0,0,SUM(720*8/(7+(B90+1))))/60)=0,0,SUM(24/(IF(B90+1=0,0,SUM(720*8/(7+(B90+1))))/60)))</f>
        <v>2</v>
      </c>
      <c r="R90" s="71"/>
      <c r="S90" s="71"/>
      <c r="T90" s="71"/>
      <c r="U90" s="71"/>
      <c r="V90" s="71"/>
      <c r="W90" s="71"/>
      <c r="X90" s="71"/>
      <c r="CP90" s="65"/>
      <c r="CQ90" s="65"/>
      <c r="CR90" s="65"/>
      <c r="CS90" s="65"/>
      <c r="CT90" s="65"/>
      <c r="CU90" s="65"/>
      <c r="CV90" s="65"/>
    </row>
    <row r="91" spans="1:100" ht="12.75">
      <c r="A91" s="62"/>
      <c r="B91" s="62"/>
      <c r="C91" s="62"/>
      <c r="D91" s="62"/>
      <c r="E91" s="62"/>
      <c r="F91" s="62"/>
      <c r="G91" s="62"/>
      <c r="H91" s="62"/>
      <c r="I91" s="62"/>
      <c r="J91" s="62"/>
      <c r="K91" s="62"/>
      <c r="L91" s="173"/>
      <c r="M91" s="62"/>
      <c r="N91" s="71"/>
      <c r="O91" s="71"/>
      <c r="P91" s="71"/>
      <c r="Q91" s="71"/>
      <c r="R91" s="71"/>
      <c r="S91" s="71"/>
      <c r="T91" s="71"/>
      <c r="U91" s="71"/>
      <c r="V91" s="71"/>
      <c r="W91" s="71"/>
      <c r="X91" s="71"/>
      <c r="CQ91" s="65"/>
      <c r="CR91" s="65"/>
      <c r="CS91" s="65"/>
      <c r="CT91" s="65"/>
      <c r="CU91" s="65"/>
      <c r="CV91" s="65"/>
    </row>
  </sheetData>
  <sheetProtection password="CE28" sheet="1"/>
  <mergeCells count="189">
    <mergeCell ref="C84:D84"/>
    <mergeCell ref="E84:E85"/>
    <mergeCell ref="F84:G84"/>
    <mergeCell ref="I84:M84"/>
    <mergeCell ref="I87:K87"/>
    <mergeCell ref="L89:L90"/>
    <mergeCell ref="M89:M90"/>
    <mergeCell ref="I88:M88"/>
    <mergeCell ref="I89:J90"/>
    <mergeCell ref="K89:K90"/>
    <mergeCell ref="I80:J80"/>
    <mergeCell ref="K80:L80"/>
    <mergeCell ref="I81:J81"/>
    <mergeCell ref="K81:L81"/>
    <mergeCell ref="I82:J82"/>
    <mergeCell ref="K82:L82"/>
    <mergeCell ref="A76:M76"/>
    <mergeCell ref="A77:B77"/>
    <mergeCell ref="G78:H78"/>
    <mergeCell ref="I78:J78"/>
    <mergeCell ref="K78:L78"/>
    <mergeCell ref="I79:J79"/>
    <mergeCell ref="K79:L79"/>
    <mergeCell ref="C69:D69"/>
    <mergeCell ref="E69:E70"/>
    <mergeCell ref="F69:G69"/>
    <mergeCell ref="I69:M69"/>
    <mergeCell ref="I72:K72"/>
    <mergeCell ref="L74:L75"/>
    <mergeCell ref="M74:M75"/>
    <mergeCell ref="I73:M73"/>
    <mergeCell ref="I74:J75"/>
    <mergeCell ref="K74:K75"/>
    <mergeCell ref="K64:L64"/>
    <mergeCell ref="I65:J65"/>
    <mergeCell ref="K65:L65"/>
    <mergeCell ref="I66:J66"/>
    <mergeCell ref="K66:L66"/>
    <mergeCell ref="I67:J67"/>
    <mergeCell ref="K67:L67"/>
    <mergeCell ref="I57:K57"/>
    <mergeCell ref="I58:M58"/>
    <mergeCell ref="A61:M61"/>
    <mergeCell ref="A62:B62"/>
    <mergeCell ref="G63:H63"/>
    <mergeCell ref="I63:J63"/>
    <mergeCell ref="K63:L63"/>
    <mergeCell ref="C54:D54"/>
    <mergeCell ref="E54:E55"/>
    <mergeCell ref="F54:G54"/>
    <mergeCell ref="I54:M54"/>
    <mergeCell ref="L55:M55"/>
    <mergeCell ref="I55:K56"/>
    <mergeCell ref="C39:D39"/>
    <mergeCell ref="E39:E40"/>
    <mergeCell ref="F39:G39"/>
    <mergeCell ref="L44:L45"/>
    <mergeCell ref="I42:K42"/>
    <mergeCell ref="I50:J50"/>
    <mergeCell ref="K50:L50"/>
    <mergeCell ref="G48:H48"/>
    <mergeCell ref="I48:J48"/>
    <mergeCell ref="K48:L48"/>
    <mergeCell ref="I36:J36"/>
    <mergeCell ref="K36:L36"/>
    <mergeCell ref="I37:J37"/>
    <mergeCell ref="K37:L37"/>
    <mergeCell ref="I52:J52"/>
    <mergeCell ref="K52:L52"/>
    <mergeCell ref="I51:J51"/>
    <mergeCell ref="I49:J49"/>
    <mergeCell ref="K49:L49"/>
    <mergeCell ref="C24:D24"/>
    <mergeCell ref="E24:E25"/>
    <mergeCell ref="F24:G24"/>
    <mergeCell ref="L29:L30"/>
    <mergeCell ref="I28:M28"/>
    <mergeCell ref="K35:L35"/>
    <mergeCell ref="I19:J19"/>
    <mergeCell ref="K19:L19"/>
    <mergeCell ref="I21:J21"/>
    <mergeCell ref="K21:L21"/>
    <mergeCell ref="I22:J22"/>
    <mergeCell ref="K22:L22"/>
    <mergeCell ref="C9:D9"/>
    <mergeCell ref="E9:E10"/>
    <mergeCell ref="F9:G9"/>
    <mergeCell ref="G18:H18"/>
    <mergeCell ref="I18:J18"/>
    <mergeCell ref="K18:L18"/>
    <mergeCell ref="K14:K15"/>
    <mergeCell ref="K4:L4"/>
    <mergeCell ref="I5:J5"/>
    <mergeCell ref="K5:L5"/>
    <mergeCell ref="I6:J6"/>
    <mergeCell ref="K6:L6"/>
    <mergeCell ref="I7:J7"/>
    <mergeCell ref="K7:L7"/>
    <mergeCell ref="A1:M1"/>
    <mergeCell ref="A2:B2"/>
    <mergeCell ref="S1:V1"/>
    <mergeCell ref="S2:T2"/>
    <mergeCell ref="G3:H3"/>
    <mergeCell ref="I3:J3"/>
    <mergeCell ref="K3:L3"/>
    <mergeCell ref="Q9:Q10"/>
    <mergeCell ref="S9:T9"/>
    <mergeCell ref="I10:K11"/>
    <mergeCell ref="L10:M10"/>
    <mergeCell ref="S10:T10"/>
    <mergeCell ref="S3:T3"/>
    <mergeCell ref="S4:T4"/>
    <mergeCell ref="S5:T5"/>
    <mergeCell ref="S6:T6"/>
    <mergeCell ref="I4:J4"/>
    <mergeCell ref="S11:T11"/>
    <mergeCell ref="I12:K12"/>
    <mergeCell ref="S12:T12"/>
    <mergeCell ref="I13:M13"/>
    <mergeCell ref="S13:T13"/>
    <mergeCell ref="S7:T7"/>
    <mergeCell ref="S8:T8"/>
    <mergeCell ref="I9:M9"/>
    <mergeCell ref="O9:O10"/>
    <mergeCell ref="P9:P10"/>
    <mergeCell ref="S14:W14"/>
    <mergeCell ref="S15:W15"/>
    <mergeCell ref="S16:W17"/>
    <mergeCell ref="A16:M16"/>
    <mergeCell ref="A17:B17"/>
    <mergeCell ref="L14:L15"/>
    <mergeCell ref="M14:M15"/>
    <mergeCell ref="I14:J15"/>
    <mergeCell ref="S18:W27"/>
    <mergeCell ref="I24:M24"/>
    <mergeCell ref="O24:O25"/>
    <mergeCell ref="P24:P25"/>
    <mergeCell ref="Q24:Q25"/>
    <mergeCell ref="I25:K26"/>
    <mergeCell ref="L25:M25"/>
    <mergeCell ref="I27:K27"/>
    <mergeCell ref="I20:J20"/>
    <mergeCell ref="K20:L20"/>
    <mergeCell ref="S28:W33"/>
    <mergeCell ref="I29:J30"/>
    <mergeCell ref="K29:K30"/>
    <mergeCell ref="M29:M30"/>
    <mergeCell ref="A31:M31"/>
    <mergeCell ref="A32:B32"/>
    <mergeCell ref="G33:H33"/>
    <mergeCell ref="I33:J33"/>
    <mergeCell ref="K33:L33"/>
    <mergeCell ref="S34:W41"/>
    <mergeCell ref="I39:M39"/>
    <mergeCell ref="O39:O40"/>
    <mergeCell ref="P39:P40"/>
    <mergeCell ref="Q39:Q40"/>
    <mergeCell ref="I40:K41"/>
    <mergeCell ref="L40:M40"/>
    <mergeCell ref="I34:J34"/>
    <mergeCell ref="K34:L34"/>
    <mergeCell ref="I35:J35"/>
    <mergeCell ref="S43:W47"/>
    <mergeCell ref="I44:J45"/>
    <mergeCell ref="K44:K45"/>
    <mergeCell ref="M44:M45"/>
    <mergeCell ref="A46:M46"/>
    <mergeCell ref="A47:B47"/>
    <mergeCell ref="I43:M43"/>
    <mergeCell ref="O69:O70"/>
    <mergeCell ref="P69:P70"/>
    <mergeCell ref="Q69:Q70"/>
    <mergeCell ref="I70:K71"/>
    <mergeCell ref="L70:M70"/>
    <mergeCell ref="L59:L60"/>
    <mergeCell ref="M59:M60"/>
    <mergeCell ref="I59:J60"/>
    <mergeCell ref="K59:K60"/>
    <mergeCell ref="I64:J64"/>
    <mergeCell ref="S49:W53"/>
    <mergeCell ref="K51:L51"/>
    <mergeCell ref="O84:O85"/>
    <mergeCell ref="P84:P85"/>
    <mergeCell ref="Q84:Q85"/>
    <mergeCell ref="I85:K86"/>
    <mergeCell ref="L85:M85"/>
    <mergeCell ref="O54:O55"/>
    <mergeCell ref="P54:P55"/>
    <mergeCell ref="Q54:Q55"/>
  </mergeCells>
  <hyperlinks>
    <hyperlink ref="S15:W15" r:id="rId1" display="http://tim-twiser.clan.su"/>
  </hyperlinks>
  <printOptions/>
  <pageMargins left="0.75" right="0.75" top="1" bottom="1" header="0.5" footer="0.5"/>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M132"/>
  <sheetViews>
    <sheetView zoomScalePageLayoutView="0" workbookViewId="0" topLeftCell="M49">
      <selection activeCell="Y14" sqref="Y14:Y31"/>
    </sheetView>
  </sheetViews>
  <sheetFormatPr defaultColWidth="9.140625" defaultRowHeight="12.75"/>
  <cols>
    <col min="1" max="1" width="17.140625" style="351" customWidth="1"/>
    <col min="2" max="2" width="6.28125" style="306" customWidth="1"/>
    <col min="3" max="3" width="6.421875" style="306" customWidth="1"/>
    <col min="4" max="4" width="5.8515625" style="306" customWidth="1"/>
    <col min="5" max="5" width="7.28125" style="306" customWidth="1"/>
    <col min="6" max="6" width="6.8515625" style="306" customWidth="1"/>
    <col min="7" max="7" width="7.00390625" style="306" customWidth="1"/>
    <col min="8" max="8" width="9.57421875" style="306" customWidth="1"/>
    <col min="9" max="9" width="9.140625" style="306" customWidth="1"/>
    <col min="10" max="10" width="10.7109375" style="306" bestFit="1" customWidth="1"/>
    <col min="11" max="11" width="9.57421875" style="306" customWidth="1"/>
    <col min="12" max="12" width="8.7109375" style="306" customWidth="1"/>
    <col min="13" max="13" width="12.28125" style="306" customWidth="1"/>
    <col min="14" max="14" width="5.57421875" style="306" customWidth="1"/>
    <col min="15" max="15" width="8.00390625" style="306" customWidth="1"/>
    <col min="16" max="16" width="8.421875" style="306" customWidth="1"/>
    <col min="17" max="17" width="9.57421875" style="306" customWidth="1"/>
    <col min="18" max="18" width="2.140625" style="306" customWidth="1"/>
    <col min="19" max="19" width="10.140625" style="306" customWidth="1"/>
    <col min="20" max="20" width="10.421875" style="306" customWidth="1"/>
    <col min="21" max="22" width="9.140625" style="306" customWidth="1"/>
    <col min="23" max="23" width="2.140625" style="306" customWidth="1"/>
    <col min="24" max="26" width="9.140625" style="306" customWidth="1"/>
    <col min="27" max="28" width="4.00390625" style="306" customWidth="1"/>
    <col min="29" max="29" width="4.57421875" style="306" customWidth="1"/>
    <col min="30" max="31" width="3.7109375" style="306" customWidth="1"/>
    <col min="32" max="16384" width="9.140625" style="306" customWidth="1"/>
  </cols>
  <sheetData>
    <row r="1" spans="1:38" ht="39" customHeight="1" thickBot="1">
      <c r="A1" s="495" t="s">
        <v>65</v>
      </c>
      <c r="B1" s="496"/>
      <c r="C1" s="497"/>
      <c r="D1" s="312"/>
      <c r="E1" s="313" t="s">
        <v>229</v>
      </c>
      <c r="F1" s="314" t="s">
        <v>278</v>
      </c>
      <c r="G1" s="315"/>
      <c r="H1" s="315"/>
      <c r="I1" s="315"/>
      <c r="J1" s="315"/>
      <c r="K1" s="509" t="s">
        <v>301</v>
      </c>
      <c r="L1" s="509"/>
      <c r="M1" s="509"/>
      <c r="N1" s="509"/>
      <c r="O1" s="509"/>
      <c r="P1" s="509"/>
      <c r="Q1" s="509"/>
      <c r="R1" s="509"/>
      <c r="S1" s="509"/>
      <c r="T1" s="509"/>
      <c r="U1" s="173"/>
      <c r="V1" s="173"/>
      <c r="W1" s="173"/>
      <c r="X1" s="173"/>
      <c r="Y1" s="173"/>
      <c r="Z1" s="173"/>
      <c r="AA1" s="173"/>
      <c r="AB1" s="173"/>
      <c r="AC1" s="173"/>
      <c r="AD1" s="173"/>
      <c r="AE1" s="173"/>
      <c r="AF1" s="173"/>
      <c r="AG1" s="173"/>
      <c r="AH1" s="173"/>
      <c r="AI1" s="173"/>
      <c r="AJ1" s="173"/>
      <c r="AK1" s="173"/>
      <c r="AL1" s="173"/>
    </row>
    <row r="2" spans="1:38" ht="15.75" customHeight="1">
      <c r="A2" s="316" t="s">
        <v>21</v>
      </c>
      <c r="B2" s="352">
        <v>1.76</v>
      </c>
      <c r="C2" s="317" t="s">
        <v>66</v>
      </c>
      <c r="D2" s="173"/>
      <c r="E2" s="318">
        <v>2.15</v>
      </c>
      <c r="F2" s="318">
        <v>2.05</v>
      </c>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446" t="s">
        <v>53</v>
      </c>
      <c r="AH2" s="447"/>
      <c r="AI2" s="447"/>
      <c r="AJ2" s="447"/>
      <c r="AK2" s="448"/>
      <c r="AL2" s="173"/>
    </row>
    <row r="3" spans="1:38" ht="15.75">
      <c r="A3" s="319" t="s">
        <v>25</v>
      </c>
      <c r="B3" s="352">
        <v>2.42</v>
      </c>
      <c r="C3" s="317" t="s">
        <v>66</v>
      </c>
      <c r="D3" s="173"/>
      <c r="E3" s="318">
        <v>2.75</v>
      </c>
      <c r="F3" s="318">
        <v>2.6</v>
      </c>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449" t="s">
        <v>55</v>
      </c>
      <c r="AH3" s="450"/>
      <c r="AI3" s="450"/>
      <c r="AJ3" s="450"/>
      <c r="AK3" s="451"/>
      <c r="AL3" s="173"/>
    </row>
    <row r="4" spans="1:38" ht="15.75" customHeight="1">
      <c r="A4" s="320" t="s">
        <v>29</v>
      </c>
      <c r="B4" s="353">
        <v>3.12</v>
      </c>
      <c r="C4" s="321" t="s">
        <v>66</v>
      </c>
      <c r="D4" s="173"/>
      <c r="E4" s="318">
        <v>3.3</v>
      </c>
      <c r="F4" s="318">
        <v>3.6</v>
      </c>
      <c r="G4" s="173"/>
      <c r="H4" s="173"/>
      <c r="I4" s="173"/>
      <c r="J4" s="173"/>
      <c r="K4" s="173"/>
      <c r="L4" s="173"/>
      <c r="M4" s="173"/>
      <c r="N4" s="173"/>
      <c r="O4" s="415" t="s">
        <v>68</v>
      </c>
      <c r="P4" s="501"/>
      <c r="Q4" s="416"/>
      <c r="R4" s="173"/>
      <c r="S4" s="173"/>
      <c r="T4" s="173"/>
      <c r="U4" s="173"/>
      <c r="V4" s="173"/>
      <c r="W4" s="173"/>
      <c r="X4" s="173"/>
      <c r="Y4" s="173"/>
      <c r="Z4" s="173"/>
      <c r="AA4" s="173"/>
      <c r="AB4" s="173"/>
      <c r="AC4" s="173"/>
      <c r="AD4" s="173"/>
      <c r="AE4" s="173"/>
      <c r="AF4" s="173"/>
      <c r="AG4" s="510" t="s">
        <v>302</v>
      </c>
      <c r="AH4" s="511"/>
      <c r="AI4" s="511"/>
      <c r="AJ4" s="511"/>
      <c r="AK4" s="512"/>
      <c r="AL4" s="173"/>
    </row>
    <row r="5" spans="1:38" ht="12.75">
      <c r="A5" s="265" t="s">
        <v>67</v>
      </c>
      <c r="B5" s="354">
        <v>3</v>
      </c>
      <c r="C5" s="322" t="s">
        <v>66</v>
      </c>
      <c r="D5" s="173"/>
      <c r="E5" s="318">
        <v>4.3</v>
      </c>
      <c r="F5" s="318">
        <v>3.9</v>
      </c>
      <c r="G5" s="173"/>
      <c r="H5" s="173"/>
      <c r="I5" s="173"/>
      <c r="J5" s="173"/>
      <c r="K5" s="173"/>
      <c r="L5" s="173"/>
      <c r="M5" s="173"/>
      <c r="N5" s="173"/>
      <c r="O5" s="417"/>
      <c r="P5" s="502"/>
      <c r="Q5" s="418"/>
      <c r="R5" s="173"/>
      <c r="S5" s="173"/>
      <c r="T5" s="173"/>
      <c r="U5" s="173"/>
      <c r="V5" s="173"/>
      <c r="W5" s="173"/>
      <c r="X5" s="173"/>
      <c r="Y5" s="173"/>
      <c r="Z5" s="173"/>
      <c r="AA5" s="173"/>
      <c r="AB5" s="173"/>
      <c r="AC5" s="173"/>
      <c r="AD5" s="173"/>
      <c r="AE5" s="173"/>
      <c r="AF5" s="173"/>
      <c r="AG5" s="513"/>
      <c r="AH5" s="514"/>
      <c r="AI5" s="514"/>
      <c r="AJ5" s="514"/>
      <c r="AK5" s="515"/>
      <c r="AL5" s="173"/>
    </row>
    <row r="6" spans="1:38" ht="13.5" customHeight="1" thickBot="1">
      <c r="A6" s="323" t="s">
        <v>69</v>
      </c>
      <c r="B6" s="354">
        <v>1</v>
      </c>
      <c r="C6" s="322" t="s">
        <v>66</v>
      </c>
      <c r="D6" s="173"/>
      <c r="E6" s="318">
        <v>1.25</v>
      </c>
      <c r="F6" s="318">
        <v>1.5</v>
      </c>
      <c r="G6" s="173"/>
      <c r="H6" s="173"/>
      <c r="I6" s="173"/>
      <c r="J6" s="173"/>
      <c r="K6" s="173"/>
      <c r="L6" s="173"/>
      <c r="M6" s="173"/>
      <c r="N6" s="173"/>
      <c r="O6" s="324" t="s">
        <v>70</v>
      </c>
      <c r="P6" s="324" t="s">
        <v>71</v>
      </c>
      <c r="Q6" s="324" t="s">
        <v>72</v>
      </c>
      <c r="R6" s="173"/>
      <c r="S6" s="173"/>
      <c r="T6" s="173"/>
      <c r="U6" s="173"/>
      <c r="V6" s="173"/>
      <c r="W6" s="173"/>
      <c r="X6" s="173"/>
      <c r="Y6" s="173"/>
      <c r="Z6" s="173"/>
      <c r="AA6" s="173"/>
      <c r="AB6" s="173"/>
      <c r="AC6" s="173"/>
      <c r="AD6" s="173"/>
      <c r="AE6" s="173"/>
      <c r="AF6" s="173"/>
      <c r="AG6" s="516" t="s">
        <v>57</v>
      </c>
      <c r="AH6" s="517"/>
      <c r="AI6" s="517"/>
      <c r="AJ6" s="517"/>
      <c r="AK6" s="518"/>
      <c r="AL6" s="173"/>
    </row>
    <row r="7" spans="1:38" ht="12.75" customHeight="1">
      <c r="A7" s="323" t="s">
        <v>73</v>
      </c>
      <c r="B7" s="354">
        <v>30</v>
      </c>
      <c r="C7" s="322" t="s">
        <v>66</v>
      </c>
      <c r="D7" s="173"/>
      <c r="E7" s="318">
        <v>30</v>
      </c>
      <c r="F7" s="318">
        <v>50</v>
      </c>
      <c r="G7" s="173"/>
      <c r="H7" s="173"/>
      <c r="I7" s="173"/>
      <c r="J7" s="173"/>
      <c r="K7" s="173"/>
      <c r="L7" s="173"/>
      <c r="M7" s="173"/>
      <c r="N7" s="173"/>
      <c r="O7" s="325">
        <f>SUM(60/'Мои Города'!E4)</f>
        <v>2.5625</v>
      </c>
      <c r="P7" s="325">
        <f>SUM(60/'Мои Города'!E19)</f>
        <v>1.75</v>
      </c>
      <c r="Q7" s="325">
        <f>SUM(60/'Мои Города'!E34)</f>
        <v>0.5</v>
      </c>
      <c r="R7" s="173"/>
      <c r="S7" s="531" t="s">
        <v>74</v>
      </c>
      <c r="T7" s="532"/>
      <c r="U7" s="531" t="s">
        <v>75</v>
      </c>
      <c r="V7" s="535"/>
      <c r="W7" s="173"/>
      <c r="X7" s="537" t="s">
        <v>76</v>
      </c>
      <c r="Y7" s="538"/>
      <c r="Z7" s="538"/>
      <c r="AA7" s="538"/>
      <c r="AB7" s="538"/>
      <c r="AC7" s="538"/>
      <c r="AD7" s="538"/>
      <c r="AE7" s="539"/>
      <c r="AF7" s="173"/>
      <c r="AG7" s="519"/>
      <c r="AH7" s="520"/>
      <c r="AI7" s="520"/>
      <c r="AJ7" s="520"/>
      <c r="AK7" s="521"/>
      <c r="AL7" s="173"/>
    </row>
    <row r="8" spans="1:38" ht="13.5" thickBot="1">
      <c r="A8" s="265" t="s">
        <v>77</v>
      </c>
      <c r="B8" s="354">
        <v>35</v>
      </c>
      <c r="C8" s="322" t="s">
        <v>66</v>
      </c>
      <c r="D8" s="173"/>
      <c r="E8" s="318">
        <v>30</v>
      </c>
      <c r="F8" s="318">
        <v>50</v>
      </c>
      <c r="G8" s="173"/>
      <c r="H8" s="173"/>
      <c r="I8" s="173"/>
      <c r="J8" s="173"/>
      <c r="K8" s="173"/>
      <c r="L8" s="173"/>
      <c r="M8" s="173"/>
      <c r="N8" s="173"/>
      <c r="O8" s="503" t="s">
        <v>78</v>
      </c>
      <c r="P8" s="504"/>
      <c r="Q8" s="505"/>
      <c r="R8" s="173"/>
      <c r="S8" s="533"/>
      <c r="T8" s="534"/>
      <c r="U8" s="533"/>
      <c r="V8" s="536"/>
      <c r="W8" s="173"/>
      <c r="X8" s="540"/>
      <c r="Y8" s="541"/>
      <c r="Z8" s="541"/>
      <c r="AA8" s="541"/>
      <c r="AB8" s="541"/>
      <c r="AC8" s="541"/>
      <c r="AD8" s="541"/>
      <c r="AE8" s="542"/>
      <c r="AF8" s="173"/>
      <c r="AG8" s="519"/>
      <c r="AH8" s="520"/>
      <c r="AI8" s="520"/>
      <c r="AJ8" s="520"/>
      <c r="AK8" s="521"/>
      <c r="AL8" s="173"/>
    </row>
    <row r="9" spans="1:38" ht="12.75" customHeight="1">
      <c r="A9" s="265" t="s">
        <v>79</v>
      </c>
      <c r="B9" s="354">
        <v>6</v>
      </c>
      <c r="C9" s="322" t="s">
        <v>66</v>
      </c>
      <c r="D9" s="173"/>
      <c r="E9" s="318">
        <v>6</v>
      </c>
      <c r="F9" s="318"/>
      <c r="G9" s="173"/>
      <c r="H9" s="173"/>
      <c r="I9" s="173"/>
      <c r="J9" s="173"/>
      <c r="K9" s="173"/>
      <c r="L9" s="173"/>
      <c r="M9" s="173"/>
      <c r="N9" s="173"/>
      <c r="O9" s="356"/>
      <c r="P9" s="356"/>
      <c r="Q9" s="356"/>
      <c r="R9" s="173"/>
      <c r="S9" s="551" t="s">
        <v>80</v>
      </c>
      <c r="T9" s="529" t="s">
        <v>81</v>
      </c>
      <c r="U9" s="522" t="s">
        <v>82</v>
      </c>
      <c r="V9" s="529" t="s">
        <v>83</v>
      </c>
      <c r="W9" s="173"/>
      <c r="X9" s="544" t="s">
        <v>84</v>
      </c>
      <c r="Y9" s="546" t="s">
        <v>85</v>
      </c>
      <c r="Z9" s="548" t="s">
        <v>86</v>
      </c>
      <c r="AA9" s="524" t="s">
        <v>87</v>
      </c>
      <c r="AB9" s="494"/>
      <c r="AC9" s="494"/>
      <c r="AD9" s="494"/>
      <c r="AE9" s="525"/>
      <c r="AF9" s="173"/>
      <c r="AG9" s="519"/>
      <c r="AH9" s="520"/>
      <c r="AI9" s="520"/>
      <c r="AJ9" s="520"/>
      <c r="AK9" s="521"/>
      <c r="AL9" s="173"/>
    </row>
    <row r="10" spans="1:38" ht="15.75">
      <c r="A10" s="326" t="s">
        <v>88</v>
      </c>
      <c r="B10" s="355">
        <v>100</v>
      </c>
      <c r="C10" s="327" t="s">
        <v>66</v>
      </c>
      <c r="D10" s="173"/>
      <c r="E10" s="318" t="s">
        <v>201</v>
      </c>
      <c r="F10" s="318"/>
      <c r="G10" s="173"/>
      <c r="H10" s="173"/>
      <c r="I10" s="328"/>
      <c r="J10" s="328"/>
      <c r="K10" s="328"/>
      <c r="L10" s="329"/>
      <c r="M10" s="173"/>
      <c r="N10" s="173"/>
      <c r="O10" s="330" t="s">
        <v>89</v>
      </c>
      <c r="P10" s="331"/>
      <c r="Q10" s="331"/>
      <c r="R10" s="173"/>
      <c r="S10" s="552"/>
      <c r="T10" s="530"/>
      <c r="U10" s="523"/>
      <c r="V10" s="530"/>
      <c r="W10" s="173"/>
      <c r="X10" s="544"/>
      <c r="Y10" s="546"/>
      <c r="Z10" s="548"/>
      <c r="AA10" s="526"/>
      <c r="AB10" s="500"/>
      <c r="AC10" s="500"/>
      <c r="AD10" s="500"/>
      <c r="AE10" s="527"/>
      <c r="AF10" s="173"/>
      <c r="AG10" s="519"/>
      <c r="AH10" s="520"/>
      <c r="AI10" s="520"/>
      <c r="AJ10" s="520"/>
      <c r="AK10" s="521"/>
      <c r="AL10" s="173"/>
    </row>
    <row r="11" spans="1:38" ht="12.75" customHeight="1">
      <c r="A11" s="326" t="s">
        <v>90</v>
      </c>
      <c r="B11" s="355">
        <v>8</v>
      </c>
      <c r="C11" s="327" t="s">
        <v>66</v>
      </c>
      <c r="D11" s="173"/>
      <c r="E11" s="318">
        <v>9</v>
      </c>
      <c r="F11" s="318">
        <v>10</v>
      </c>
      <c r="G11" s="173"/>
      <c r="H11" s="173"/>
      <c r="I11" s="328"/>
      <c r="J11" s="328"/>
      <c r="K11" s="328"/>
      <c r="L11" s="173"/>
      <c r="M11" s="173"/>
      <c r="N11" s="173"/>
      <c r="O11" s="332">
        <f>IF(O9&lt;&gt;0,O9,O7)</f>
        <v>2.5625</v>
      </c>
      <c r="P11" s="332">
        <f>IF(P9&lt;&gt;0,P9,P7)</f>
        <v>1.75</v>
      </c>
      <c r="Q11" s="332">
        <f>IF(Q9&lt;&gt;0,Q9,Q7)</f>
        <v>0.5</v>
      </c>
      <c r="R11" s="173"/>
      <c r="S11" s="552"/>
      <c r="T11" s="530"/>
      <c r="U11" s="523"/>
      <c r="V11" s="530"/>
      <c r="W11" s="173"/>
      <c r="X11" s="544"/>
      <c r="Y11" s="546"/>
      <c r="Z11" s="548"/>
      <c r="AA11" s="526"/>
      <c r="AB11" s="500"/>
      <c r="AC11" s="500"/>
      <c r="AD11" s="500"/>
      <c r="AE11" s="527"/>
      <c r="AF11" s="173"/>
      <c r="AG11" s="519"/>
      <c r="AH11" s="520"/>
      <c r="AI11" s="520"/>
      <c r="AJ11" s="520"/>
      <c r="AK11" s="521"/>
      <c r="AL11" s="173"/>
    </row>
    <row r="12" spans="1:38" s="335" customFormat="1" ht="37.5" customHeight="1">
      <c r="A12" s="498" t="s">
        <v>91</v>
      </c>
      <c r="B12" s="490" t="s">
        <v>92</v>
      </c>
      <c r="C12" s="491"/>
      <c r="D12" s="491"/>
      <c r="E12" s="491"/>
      <c r="F12" s="492"/>
      <c r="G12" s="500" t="s">
        <v>93</v>
      </c>
      <c r="H12" s="493" t="s">
        <v>94</v>
      </c>
      <c r="I12" s="500" t="s">
        <v>95</v>
      </c>
      <c r="J12" s="493" t="s">
        <v>96</v>
      </c>
      <c r="K12" s="500" t="s">
        <v>97</v>
      </c>
      <c r="L12" s="500" t="s">
        <v>98</v>
      </c>
      <c r="M12" s="493" t="s">
        <v>99</v>
      </c>
      <c r="N12" s="333"/>
      <c r="O12" s="324" t="s">
        <v>70</v>
      </c>
      <c r="P12" s="324" t="s">
        <v>71</v>
      </c>
      <c r="Q12" s="324" t="s">
        <v>72</v>
      </c>
      <c r="R12" s="334"/>
      <c r="S12" s="552"/>
      <c r="T12" s="530"/>
      <c r="U12" s="523"/>
      <c r="V12" s="530"/>
      <c r="W12" s="334"/>
      <c r="X12" s="544"/>
      <c r="Y12" s="546"/>
      <c r="Z12" s="548"/>
      <c r="AA12" s="543" t="s">
        <v>100</v>
      </c>
      <c r="AB12" s="528" t="s">
        <v>101</v>
      </c>
      <c r="AC12" s="528" t="s">
        <v>102</v>
      </c>
      <c r="AD12" s="528" t="s">
        <v>103</v>
      </c>
      <c r="AE12" s="550" t="s">
        <v>104</v>
      </c>
      <c r="AF12" s="334"/>
      <c r="AG12" s="519"/>
      <c r="AH12" s="520"/>
      <c r="AI12" s="520"/>
      <c r="AJ12" s="520"/>
      <c r="AK12" s="521"/>
      <c r="AL12" s="334"/>
    </row>
    <row r="13" spans="1:38" ht="16.5" customHeight="1">
      <c r="A13" s="499"/>
      <c r="B13" s="336" t="s">
        <v>66</v>
      </c>
      <c r="C13" s="336" t="s">
        <v>14</v>
      </c>
      <c r="D13" s="336" t="s">
        <v>19</v>
      </c>
      <c r="E13" s="336" t="s">
        <v>23</v>
      </c>
      <c r="F13" s="336" t="s">
        <v>105</v>
      </c>
      <c r="G13" s="500"/>
      <c r="H13" s="494"/>
      <c r="I13" s="500"/>
      <c r="J13" s="494"/>
      <c r="K13" s="500"/>
      <c r="L13" s="500"/>
      <c r="M13" s="494"/>
      <c r="N13" s="337"/>
      <c r="O13" s="506" t="s">
        <v>106</v>
      </c>
      <c r="P13" s="507"/>
      <c r="Q13" s="508"/>
      <c r="R13" s="173"/>
      <c r="S13" s="553"/>
      <c r="T13" s="530"/>
      <c r="U13" s="523"/>
      <c r="V13" s="530"/>
      <c r="W13" s="173"/>
      <c r="X13" s="545"/>
      <c r="Y13" s="547"/>
      <c r="Z13" s="549"/>
      <c r="AA13" s="543"/>
      <c r="AB13" s="528"/>
      <c r="AC13" s="528"/>
      <c r="AD13" s="528"/>
      <c r="AE13" s="550"/>
      <c r="AF13" s="173"/>
      <c r="AG13" s="519"/>
      <c r="AH13" s="520"/>
      <c r="AI13" s="520"/>
      <c r="AJ13" s="520"/>
      <c r="AK13" s="521"/>
      <c r="AL13" s="173"/>
    </row>
    <row r="14" spans="1:38" ht="12.75" customHeight="1">
      <c r="A14" s="265" t="s">
        <v>107</v>
      </c>
      <c r="B14" s="338"/>
      <c r="C14" s="338">
        <v>15</v>
      </c>
      <c r="D14" s="338"/>
      <c r="E14" s="338"/>
      <c r="F14" s="338"/>
      <c r="G14" s="339">
        <v>3</v>
      </c>
      <c r="H14" s="200">
        <f>SUM((15*B2)/3)</f>
        <v>8.799999999999999</v>
      </c>
      <c r="I14" s="338">
        <v>28</v>
      </c>
      <c r="J14" s="485">
        <v>0</v>
      </c>
      <c r="K14" s="485">
        <v>10</v>
      </c>
      <c r="L14" s="199">
        <f>IF(I14-J14-(K14*9)&lt;=0,0,(I14-J14-(K14*9)))</f>
        <v>0</v>
      </c>
      <c r="M14" s="199"/>
      <c r="N14" s="173"/>
      <c r="O14" s="340">
        <f>SUM((H14*G14+L14*O11)/G14)+IF(J14&gt;I14,I14*B11,J14*B11)/3</f>
        <v>8.799999999999999</v>
      </c>
      <c r="P14" s="200">
        <f>SUM((H14*G14+L14*P11)/G14)+(J14*B11)/3</f>
        <v>8.799999999999999</v>
      </c>
      <c r="Q14" s="200">
        <f>SUM((H14*G14+L14*Q11)/G14)+(J14*B11)/3</f>
        <v>8.799999999999999</v>
      </c>
      <c r="R14" s="173"/>
      <c r="S14" s="357">
        <v>4</v>
      </c>
      <c r="T14" s="358">
        <v>9</v>
      </c>
      <c r="U14" s="359">
        <v>60</v>
      </c>
      <c r="V14" s="360">
        <v>15</v>
      </c>
      <c r="W14" s="173"/>
      <c r="X14" s="200">
        <f aca="true" t="shared" si="0" ref="X14:X31">SUM((S14+S14/2)*S14/2,(T14+T14/2)*T14/4,O14)*1.1</f>
        <v>56.292500000000004</v>
      </c>
      <c r="Y14" s="365">
        <v>60</v>
      </c>
      <c r="Z14" s="341">
        <f aca="true" t="shared" si="1" ref="Z14:Z19">SUM(Y14-O14)</f>
        <v>51.2</v>
      </c>
      <c r="AA14" s="342" t="str">
        <f>IF(U14=0,"-",IF(U14-Y14+(IF(V14&lt;T14,(T14-V14)*10,0))&gt;=U14/5,"да","-"))</f>
        <v>-</v>
      </c>
      <c r="AB14" s="342" t="str">
        <f>IF(U14=0,"-",IF(U14-Y14+(IF(V14&lt;T14,(T14-V14)*10,0))&gt;=U14/5,"-",IF(U14-Y14+(IF(V14&lt;T14,(T14-V14)*10,0))&gt;=U14/10,"да","-")))</f>
        <v>-</v>
      </c>
      <c r="AC14" s="342" t="str">
        <f>IF(U14=0,"-",IF(U14-Y14+(IF(V14&lt;T14,(T14-V14)*10,0))&gt;=U14/10,"-",IF(U14-Y14+(IF(V14&lt;T14,(T14-V14)*10,0))&gt;=0,"да","-")))</f>
        <v>да</v>
      </c>
      <c r="AD14" s="342" t="str">
        <f>IF(U14=0,"-",IF(U14-Y14+(IF(V14&lt;T14,(T14-V14)*10,0))&lt;U14-U14*1.1,"-",IF(U14-Y14+(IF(V14&lt;T14,(T14-V14)*10,0))&lt;0,"да","-")))</f>
        <v>-</v>
      </c>
      <c r="AE14" s="342" t="str">
        <f>IF(U14=0,"-",IF(U14=0,"да",IF(U14-Y14+(IF(V14&lt;T14,(T14-V14)*10,0))&lt;U14-U14*1.1,"да","-")))</f>
        <v>-</v>
      </c>
      <c r="AF14" s="173"/>
      <c r="AG14" s="519"/>
      <c r="AH14" s="520"/>
      <c r="AI14" s="520"/>
      <c r="AJ14" s="520"/>
      <c r="AK14" s="521"/>
      <c r="AL14" s="173"/>
    </row>
    <row r="15" spans="1:39" ht="12.75" customHeight="1">
      <c r="A15" s="265" t="s">
        <v>108</v>
      </c>
      <c r="B15" s="338">
        <v>3</v>
      </c>
      <c r="C15" s="338"/>
      <c r="D15" s="338"/>
      <c r="E15" s="338"/>
      <c r="F15" s="338">
        <v>1</v>
      </c>
      <c r="G15" s="339">
        <v>3</v>
      </c>
      <c r="H15" s="200">
        <f>SUM((3+1*B5)/3)</f>
        <v>2</v>
      </c>
      <c r="I15" s="338">
        <v>20</v>
      </c>
      <c r="J15" s="486"/>
      <c r="K15" s="486"/>
      <c r="L15" s="199">
        <f>IF(I15-J14-(K14*9)&lt;=0,0,(I15-J14-(K14*9)))</f>
        <v>0</v>
      </c>
      <c r="M15" s="199"/>
      <c r="N15" s="173"/>
      <c r="O15" s="340">
        <f>SUM((H15*G15+L15*O11)/G15)+IF(J14&gt;I15,I15*B11,J14*B11)/3</f>
        <v>2</v>
      </c>
      <c r="P15" s="200">
        <f>SUM((H15*G15+L15*P11)/G15)+(J14*B11)/3</f>
        <v>2</v>
      </c>
      <c r="Q15" s="200">
        <f>SUM((H15*G15+L15*Q11)/G15)+(J14*B11)/3</f>
        <v>2</v>
      </c>
      <c r="R15" s="173"/>
      <c r="S15" s="357">
        <v>4</v>
      </c>
      <c r="T15" s="358">
        <v>8</v>
      </c>
      <c r="U15" s="359">
        <v>40</v>
      </c>
      <c r="V15" s="360">
        <v>100</v>
      </c>
      <c r="W15" s="173"/>
      <c r="X15" s="200">
        <f t="shared" si="0"/>
        <v>41.800000000000004</v>
      </c>
      <c r="Y15" s="365">
        <v>41</v>
      </c>
      <c r="Z15" s="341">
        <f t="shared" si="1"/>
        <v>39</v>
      </c>
      <c r="AA15" s="342" t="str">
        <f aca="true" t="shared" si="2" ref="AA15:AA31">IF(U15=0,"-",IF(U15-Y15+(IF(V15&lt;T15,(T15-V15)*10,0))&gt;=U15/5,"да","-"))</f>
        <v>-</v>
      </c>
      <c r="AB15" s="342" t="str">
        <f aca="true" t="shared" si="3" ref="AB15:AB31">IF(U15=0,"-",IF(U15-Y15+(IF(V15&lt;T15,(T15-V15)*10,0))&gt;=U15/5,"-",IF(U15-Y15+(IF(V15&lt;T15,(T15-V15)*10,0))&gt;=U15/10,"да","-")))</f>
        <v>-</v>
      </c>
      <c r="AC15" s="342" t="str">
        <f aca="true" t="shared" si="4" ref="AC15:AC31">IF(U15=0,"-",IF(U15-Y15+(IF(V15&lt;T15,(T15-V15)*10,0))&gt;=U15/10,"-",IF(U15-Y15+(IF(V15&lt;T15,(T15-V15)*10,0))&gt;=0,"да","-")))</f>
        <v>-</v>
      </c>
      <c r="AD15" s="342" t="str">
        <f aca="true" t="shared" si="5" ref="AD15:AD31">IF(U15=0,"-",IF(U15-Y15+(IF(V15&lt;T15,(T15-V15)*10,0))&lt;U15-U15*1.1,"-",IF(U15-Y15+(IF(V15&lt;T15,(T15-V15)*10,0))&lt;0,"да","-")))</f>
        <v>да</v>
      </c>
      <c r="AE15" s="342" t="str">
        <f aca="true" t="shared" si="6" ref="AE15:AE31">IF(U15=0,"-",IF(U15=0,"да",IF(U15-Y15+(IF(V15&lt;T15,(T15-V15)*10,0))&lt;U15-U15*1.1,"да","-")))</f>
        <v>-</v>
      </c>
      <c r="AF15" s="173"/>
      <c r="AG15" s="519"/>
      <c r="AH15" s="520"/>
      <c r="AI15" s="520"/>
      <c r="AJ15" s="520"/>
      <c r="AK15" s="521"/>
      <c r="AL15" s="173"/>
      <c r="AM15" s="343"/>
    </row>
    <row r="16" spans="1:39" ht="12.75" customHeight="1">
      <c r="A16" s="265" t="s">
        <v>109</v>
      </c>
      <c r="B16" s="338"/>
      <c r="C16" s="338">
        <v>6</v>
      </c>
      <c r="D16" s="338"/>
      <c r="E16" s="338">
        <v>3</v>
      </c>
      <c r="F16" s="338"/>
      <c r="G16" s="339">
        <v>3</v>
      </c>
      <c r="H16" s="200">
        <f>SUM((6*B2+3*B4)/3)</f>
        <v>6.640000000000001</v>
      </c>
      <c r="I16" s="338">
        <v>18</v>
      </c>
      <c r="J16" s="486"/>
      <c r="K16" s="486"/>
      <c r="L16" s="199">
        <f>IF(I16-J14-(K14*9)&lt;=0,0,(I16-J14-(K14*9)))</f>
        <v>0</v>
      </c>
      <c r="M16" s="199"/>
      <c r="N16" s="173"/>
      <c r="O16" s="340">
        <f>SUM((H16*G16+L16*O11)/G16)+IF(J14&gt;I16,I16*B11,J14*B11)/3</f>
        <v>6.640000000000001</v>
      </c>
      <c r="P16" s="200">
        <f>SUM((H16*G16+L16*P11)/G16)+(J14*B11)/3</f>
        <v>6.640000000000001</v>
      </c>
      <c r="Q16" s="200">
        <f>SUM((H16*G16+L16*Q11)/G16)+(J14*B11)/3</f>
        <v>6.640000000000001</v>
      </c>
      <c r="R16" s="173"/>
      <c r="S16" s="357">
        <v>4</v>
      </c>
      <c r="T16" s="358">
        <v>9</v>
      </c>
      <c r="U16" s="359">
        <v>50</v>
      </c>
      <c r="V16" s="360">
        <v>100</v>
      </c>
      <c r="W16" s="173"/>
      <c r="X16" s="200">
        <f t="shared" si="0"/>
        <v>53.916500000000006</v>
      </c>
      <c r="Y16" s="365">
        <v>50</v>
      </c>
      <c r="Z16" s="341">
        <f t="shared" si="1"/>
        <v>43.36</v>
      </c>
      <c r="AA16" s="342" t="str">
        <f t="shared" si="2"/>
        <v>-</v>
      </c>
      <c r="AB16" s="342" t="str">
        <f t="shared" si="3"/>
        <v>-</v>
      </c>
      <c r="AC16" s="342" t="str">
        <f t="shared" si="4"/>
        <v>да</v>
      </c>
      <c r="AD16" s="342" t="str">
        <f t="shared" si="5"/>
        <v>-</v>
      </c>
      <c r="AE16" s="342" t="str">
        <f t="shared" si="6"/>
        <v>-</v>
      </c>
      <c r="AF16" s="173"/>
      <c r="AG16" s="554" t="s">
        <v>110</v>
      </c>
      <c r="AH16" s="555"/>
      <c r="AI16" s="555"/>
      <c r="AJ16" s="555"/>
      <c r="AK16" s="556"/>
      <c r="AL16" s="264"/>
      <c r="AM16" s="343"/>
    </row>
    <row r="17" spans="1:39" ht="12.75" customHeight="1">
      <c r="A17" s="265" t="s">
        <v>111</v>
      </c>
      <c r="B17" s="338"/>
      <c r="C17" s="338">
        <v>5</v>
      </c>
      <c r="D17" s="338"/>
      <c r="E17" s="338"/>
      <c r="F17" s="338">
        <v>1</v>
      </c>
      <c r="G17" s="339">
        <v>2</v>
      </c>
      <c r="H17" s="200">
        <f>SUM((5*B2+1*B5)/2)</f>
        <v>5.9</v>
      </c>
      <c r="I17" s="338">
        <v>20</v>
      </c>
      <c r="J17" s="486"/>
      <c r="K17" s="486"/>
      <c r="L17" s="199">
        <f>IF(I17-J14-(K14*9)&lt;=0,0,(I17-J14-(K14*9)))</f>
        <v>0</v>
      </c>
      <c r="M17" s="199"/>
      <c r="N17" s="173"/>
      <c r="O17" s="340">
        <f>SUM((H17*G17+L17*O11)/G17)+IF(J14&gt;I17,I17*B11,J14*B11)/2</f>
        <v>5.9</v>
      </c>
      <c r="P17" s="200">
        <f>SUM((H17*G17+L17*P11)/G17)+(J14*B11)/2</f>
        <v>5.9</v>
      </c>
      <c r="Q17" s="200">
        <f>SUM((H17*G17+L17*Q11)/G17)+(J14*B11)/2</f>
        <v>5.9</v>
      </c>
      <c r="R17" s="173"/>
      <c r="S17" s="357">
        <v>7</v>
      </c>
      <c r="T17" s="358">
        <v>5</v>
      </c>
      <c r="U17" s="359">
        <v>70</v>
      </c>
      <c r="V17" s="360">
        <v>20</v>
      </c>
      <c r="W17" s="173"/>
      <c r="X17" s="200">
        <f t="shared" si="0"/>
        <v>57.227500000000006</v>
      </c>
      <c r="Y17" s="365">
        <v>200</v>
      </c>
      <c r="Z17" s="341">
        <f t="shared" si="1"/>
        <v>194.1</v>
      </c>
      <c r="AA17" s="342" t="str">
        <f t="shared" si="2"/>
        <v>-</v>
      </c>
      <c r="AB17" s="342" t="str">
        <f t="shared" si="3"/>
        <v>-</v>
      </c>
      <c r="AC17" s="342" t="str">
        <f t="shared" si="4"/>
        <v>-</v>
      </c>
      <c r="AD17" s="342" t="str">
        <f t="shared" si="5"/>
        <v>-</v>
      </c>
      <c r="AE17" s="342" t="str">
        <f t="shared" si="6"/>
        <v>да</v>
      </c>
      <c r="AF17" s="173"/>
      <c r="AG17" s="554"/>
      <c r="AH17" s="555"/>
      <c r="AI17" s="555"/>
      <c r="AJ17" s="555"/>
      <c r="AK17" s="556"/>
      <c r="AL17" s="264"/>
      <c r="AM17" s="343"/>
    </row>
    <row r="18" spans="1:39" ht="12.75" customHeight="1">
      <c r="A18" s="265" t="s">
        <v>112</v>
      </c>
      <c r="B18" s="338">
        <v>10</v>
      </c>
      <c r="C18" s="338"/>
      <c r="D18" s="338">
        <v>3</v>
      </c>
      <c r="E18" s="338"/>
      <c r="F18" s="338"/>
      <c r="G18" s="339">
        <v>1</v>
      </c>
      <c r="H18" s="200">
        <f>SUM(10+3*B3)</f>
        <v>17.259999999999998</v>
      </c>
      <c r="I18" s="338">
        <v>18</v>
      </c>
      <c r="J18" s="486"/>
      <c r="K18" s="486"/>
      <c r="L18" s="199">
        <f>IF(I18-J14-(K14*9)&lt;=0,0,(I18-J14-(K14*9)))</f>
        <v>0</v>
      </c>
      <c r="M18" s="199"/>
      <c r="N18" s="173"/>
      <c r="O18" s="340">
        <f>SUM((H18*G18+L18*O11)/G18)+IF(J14&gt;I18,I18*B11,J14*B11)</f>
        <v>17.259999999999998</v>
      </c>
      <c r="P18" s="200">
        <f>SUM((H18*G18+L18*P11)/G18)+(J14*B11)</f>
        <v>17.259999999999998</v>
      </c>
      <c r="Q18" s="200">
        <f>SUM((H18*G18+L18*Q11)/G18)+(J14*B11)</f>
        <v>17.259999999999998</v>
      </c>
      <c r="R18" s="173"/>
      <c r="S18" s="357">
        <v>7</v>
      </c>
      <c r="T18" s="358">
        <v>5</v>
      </c>
      <c r="U18" s="359">
        <v>150</v>
      </c>
      <c r="V18" s="360">
        <v>15</v>
      </c>
      <c r="W18" s="173"/>
      <c r="X18" s="200">
        <f t="shared" si="0"/>
        <v>69.7235</v>
      </c>
      <c r="Y18" s="365">
        <v>90</v>
      </c>
      <c r="Z18" s="341">
        <f t="shared" si="1"/>
        <v>72.74000000000001</v>
      </c>
      <c r="AA18" s="342" t="str">
        <f t="shared" si="2"/>
        <v>да</v>
      </c>
      <c r="AB18" s="342" t="str">
        <f t="shared" si="3"/>
        <v>-</v>
      </c>
      <c r="AC18" s="342" t="str">
        <f t="shared" si="4"/>
        <v>-</v>
      </c>
      <c r="AD18" s="342" t="str">
        <f t="shared" si="5"/>
        <v>-</v>
      </c>
      <c r="AE18" s="342" t="str">
        <f t="shared" si="6"/>
        <v>-</v>
      </c>
      <c r="AF18" s="173"/>
      <c r="AG18" s="554"/>
      <c r="AH18" s="555"/>
      <c r="AI18" s="555"/>
      <c r="AJ18" s="555"/>
      <c r="AK18" s="556"/>
      <c r="AL18" s="264"/>
      <c r="AM18" s="343"/>
    </row>
    <row r="19" spans="1:39" ht="12.75" customHeight="1">
      <c r="A19" s="265" t="s">
        <v>113</v>
      </c>
      <c r="B19" s="338"/>
      <c r="C19" s="338"/>
      <c r="D19" s="338"/>
      <c r="E19" s="338"/>
      <c r="F19" s="338">
        <v>200</v>
      </c>
      <c r="G19" s="339">
        <v>1</v>
      </c>
      <c r="H19" s="200">
        <f>SUM(200*B5)</f>
        <v>600</v>
      </c>
      <c r="I19" s="338">
        <v>100</v>
      </c>
      <c r="J19" s="486"/>
      <c r="K19" s="486"/>
      <c r="L19" s="199">
        <f>IF(I19-J14-(K14*9)&lt;=0,0,(I19-J14-(K14*9)))</f>
        <v>10</v>
      </c>
      <c r="M19" s="199"/>
      <c r="N19" s="173"/>
      <c r="O19" s="340">
        <f>SUM((H19*G19+L19*O11)/G19)+IF(J14&gt;I19,I19*B11,J14*B11)</f>
        <v>625.625</v>
      </c>
      <c r="P19" s="200">
        <f>SUM((H19*G19+L19*P11)/G19)+(J14*B11)</f>
        <v>617.5</v>
      </c>
      <c r="Q19" s="200">
        <f>SUM((H19*G19+L19*Q11)/G19)+(J14*B11)</f>
        <v>605</v>
      </c>
      <c r="R19" s="173"/>
      <c r="S19" s="357">
        <v>0</v>
      </c>
      <c r="T19" s="358">
        <v>1</v>
      </c>
      <c r="U19" s="359">
        <v>770</v>
      </c>
      <c r="V19" s="360">
        <v>13</v>
      </c>
      <c r="W19" s="173"/>
      <c r="X19" s="200">
        <f t="shared" si="0"/>
        <v>688.6</v>
      </c>
      <c r="Y19" s="365">
        <v>700</v>
      </c>
      <c r="Z19" s="341">
        <f t="shared" si="1"/>
        <v>74.375</v>
      </c>
      <c r="AA19" s="342" t="str">
        <f t="shared" si="2"/>
        <v>-</v>
      </c>
      <c r="AB19" s="342" t="str">
        <f t="shared" si="3"/>
        <v>-</v>
      </c>
      <c r="AC19" s="342" t="str">
        <f t="shared" si="4"/>
        <v>да</v>
      </c>
      <c r="AD19" s="342" t="str">
        <f t="shared" si="5"/>
        <v>-</v>
      </c>
      <c r="AE19" s="342" t="str">
        <f t="shared" si="6"/>
        <v>-</v>
      </c>
      <c r="AF19" s="173"/>
      <c r="AG19" s="554"/>
      <c r="AH19" s="555"/>
      <c r="AI19" s="555"/>
      <c r="AJ19" s="555"/>
      <c r="AK19" s="556"/>
      <c r="AL19" s="173"/>
      <c r="AM19" s="343"/>
    </row>
    <row r="20" spans="1:38" ht="12.75" customHeight="1">
      <c r="A20" s="265" t="s">
        <v>114</v>
      </c>
      <c r="B20" s="338"/>
      <c r="C20" s="338"/>
      <c r="D20" s="338"/>
      <c r="E20" s="338"/>
      <c r="F20" s="338">
        <v>2</v>
      </c>
      <c r="G20" s="339">
        <v>1</v>
      </c>
      <c r="H20" s="200">
        <f>SUM(2*B5)</f>
        <v>6</v>
      </c>
      <c r="I20" s="338">
        <v>12</v>
      </c>
      <c r="J20" s="486"/>
      <c r="K20" s="486"/>
      <c r="L20" s="199">
        <f>IF(I20-J14-(K14*9)&lt;=0,0,(I20-J14-(K14*9)))</f>
        <v>0</v>
      </c>
      <c r="M20" s="199"/>
      <c r="N20" s="173"/>
      <c r="O20" s="340">
        <f>SUM((H20*G20+L20*O11)/G20)+IF(J14&gt;I20,I20*B11,J14*B11)</f>
        <v>6</v>
      </c>
      <c r="P20" s="200">
        <f>SUM((H20*G20+L20*P11)/G20)+(J14*B11)</f>
        <v>6</v>
      </c>
      <c r="Q20" s="200">
        <f>SUM((H20*G20+L20*Q11)/G20)+(J14*B11)</f>
        <v>6</v>
      </c>
      <c r="R20" s="173"/>
      <c r="S20" s="357">
        <v>1</v>
      </c>
      <c r="T20" s="358">
        <v>7</v>
      </c>
      <c r="U20" s="359">
        <v>40</v>
      </c>
      <c r="V20" s="360">
        <v>10</v>
      </c>
      <c r="W20" s="173"/>
      <c r="X20" s="200">
        <f t="shared" si="0"/>
        <v>27.637500000000003</v>
      </c>
      <c r="Y20" s="365">
        <v>40</v>
      </c>
      <c r="Z20" s="341">
        <v>30</v>
      </c>
      <c r="AA20" s="342" t="str">
        <f t="shared" si="2"/>
        <v>-</v>
      </c>
      <c r="AB20" s="342" t="str">
        <f t="shared" si="3"/>
        <v>-</v>
      </c>
      <c r="AC20" s="342" t="str">
        <f t="shared" si="4"/>
        <v>да</v>
      </c>
      <c r="AD20" s="342" t="str">
        <f t="shared" si="5"/>
        <v>-</v>
      </c>
      <c r="AE20" s="342" t="str">
        <f t="shared" si="6"/>
        <v>-</v>
      </c>
      <c r="AF20" s="173"/>
      <c r="AG20" s="554"/>
      <c r="AH20" s="555"/>
      <c r="AI20" s="555"/>
      <c r="AJ20" s="555"/>
      <c r="AK20" s="556"/>
      <c r="AL20" s="173"/>
    </row>
    <row r="21" spans="1:38" ht="12.75" customHeight="1">
      <c r="A21" s="265" t="s">
        <v>115</v>
      </c>
      <c r="B21" s="338">
        <v>3</v>
      </c>
      <c r="C21" s="338"/>
      <c r="D21" s="338"/>
      <c r="E21" s="338">
        <v>2</v>
      </c>
      <c r="F21" s="338"/>
      <c r="G21" s="339">
        <v>2</v>
      </c>
      <c r="H21" s="200">
        <f>SUM((3+2*B4)/2)</f>
        <v>4.62</v>
      </c>
      <c r="I21" s="338">
        <v>10</v>
      </c>
      <c r="J21" s="486"/>
      <c r="K21" s="486"/>
      <c r="L21" s="199">
        <f>IF(I21-J14-(K14*9)&lt;=0,0,(I21-J14-(K14*9)))</f>
        <v>0</v>
      </c>
      <c r="M21" s="199"/>
      <c r="N21" s="173"/>
      <c r="O21" s="340">
        <f>SUM((H21*G21+L21*O11)/G21)+IF(J14&gt;I21,I21*B11,J14*B11)/2</f>
        <v>4.62</v>
      </c>
      <c r="P21" s="200">
        <f>SUM((H21*G21+L21*P11)/G21)+(J14*B11)/2</f>
        <v>4.62</v>
      </c>
      <c r="Q21" s="200">
        <f>SUM((H21*G21+L21*Q11)/G21)+(J14*B11)/2</f>
        <v>4.62</v>
      </c>
      <c r="R21" s="173"/>
      <c r="S21" s="357">
        <v>7</v>
      </c>
      <c r="T21" s="358">
        <v>4</v>
      </c>
      <c r="U21" s="359">
        <v>100</v>
      </c>
      <c r="V21" s="360">
        <v>5</v>
      </c>
      <c r="W21" s="173"/>
      <c r="X21" s="200">
        <f t="shared" si="0"/>
        <v>52.107</v>
      </c>
      <c r="Y21" s="365">
        <v>100</v>
      </c>
      <c r="Z21" s="341">
        <f aca="true" t="shared" si="7" ref="Z21:Z31">SUM(Y21-O21)</f>
        <v>95.38</v>
      </c>
      <c r="AA21" s="342" t="str">
        <f t="shared" si="2"/>
        <v>-</v>
      </c>
      <c r="AB21" s="342" t="str">
        <f t="shared" si="3"/>
        <v>-</v>
      </c>
      <c r="AC21" s="342" t="str">
        <f t="shared" si="4"/>
        <v>да</v>
      </c>
      <c r="AD21" s="342" t="str">
        <f t="shared" si="5"/>
        <v>-</v>
      </c>
      <c r="AE21" s="342" t="str">
        <f t="shared" si="6"/>
        <v>-</v>
      </c>
      <c r="AF21" s="173"/>
      <c r="AG21" s="554"/>
      <c r="AH21" s="555"/>
      <c r="AI21" s="555"/>
      <c r="AJ21" s="555"/>
      <c r="AK21" s="556"/>
      <c r="AL21" s="173"/>
    </row>
    <row r="22" spans="1:38" ht="12.75" customHeight="1">
      <c r="A22" s="265" t="s">
        <v>116</v>
      </c>
      <c r="B22" s="338">
        <v>1</v>
      </c>
      <c r="C22" s="338">
        <v>5</v>
      </c>
      <c r="D22" s="338"/>
      <c r="E22" s="338">
        <v>3</v>
      </c>
      <c r="F22" s="338"/>
      <c r="G22" s="339">
        <v>2</v>
      </c>
      <c r="H22" s="200">
        <f>SUM((1+5*B2+3*B4)/2)</f>
        <v>9.58</v>
      </c>
      <c r="I22" s="338">
        <v>18</v>
      </c>
      <c r="J22" s="486"/>
      <c r="K22" s="486"/>
      <c r="L22" s="199">
        <f>IF(I22-J14-(K14*9)&lt;=0,0,(I22-J14-(K14*9)))</f>
        <v>0</v>
      </c>
      <c r="M22" s="199"/>
      <c r="N22" s="173"/>
      <c r="O22" s="340">
        <f>SUM((H22*G22+L22*O11)/G22)+IF(J14&gt;I22,I22*B11,J14*B11)/2</f>
        <v>9.58</v>
      </c>
      <c r="P22" s="200">
        <f>SUM((H22*G22+L22*P11)/G22)+(J14*B11)/2</f>
        <v>9.58</v>
      </c>
      <c r="Q22" s="200">
        <f>SUM((H22*G22+L22*Q11)/G22)+(J14*B11)/2</f>
        <v>9.58</v>
      </c>
      <c r="R22" s="173"/>
      <c r="S22" s="357">
        <v>7</v>
      </c>
      <c r="T22" s="358">
        <v>4</v>
      </c>
      <c r="U22" s="359">
        <v>150</v>
      </c>
      <c r="V22" s="360">
        <v>2</v>
      </c>
      <c r="W22" s="173"/>
      <c r="X22" s="200">
        <f t="shared" si="0"/>
        <v>57.563</v>
      </c>
      <c r="Y22" s="365">
        <v>100</v>
      </c>
      <c r="Z22" s="341">
        <f t="shared" si="7"/>
        <v>90.42</v>
      </c>
      <c r="AA22" s="342" t="str">
        <f t="shared" si="2"/>
        <v>да</v>
      </c>
      <c r="AB22" s="342" t="str">
        <f t="shared" si="3"/>
        <v>-</v>
      </c>
      <c r="AC22" s="342" t="str">
        <f t="shared" si="4"/>
        <v>-</v>
      </c>
      <c r="AD22" s="342" t="str">
        <f t="shared" si="5"/>
        <v>-</v>
      </c>
      <c r="AE22" s="342" t="str">
        <f t="shared" si="6"/>
        <v>-</v>
      </c>
      <c r="AF22" s="173"/>
      <c r="AG22" s="427" t="s">
        <v>60</v>
      </c>
      <c r="AH22" s="428"/>
      <c r="AI22" s="428"/>
      <c r="AJ22" s="428"/>
      <c r="AK22" s="429"/>
      <c r="AL22" s="173"/>
    </row>
    <row r="23" spans="1:38" ht="12.75" customHeight="1">
      <c r="A23" s="265" t="s">
        <v>117</v>
      </c>
      <c r="B23" s="338"/>
      <c r="C23" s="338"/>
      <c r="D23" s="338"/>
      <c r="E23" s="338"/>
      <c r="F23" s="338">
        <v>2</v>
      </c>
      <c r="G23" s="339">
        <v>1</v>
      </c>
      <c r="H23" s="200">
        <f>SUM(2*B5)</f>
        <v>6</v>
      </c>
      <c r="I23" s="338">
        <v>13</v>
      </c>
      <c r="J23" s="486"/>
      <c r="K23" s="486"/>
      <c r="L23" s="199">
        <f>IF(I23-J14-(K14*9)&lt;=0,0,(I23-J14-(K14*9)))</f>
        <v>0</v>
      </c>
      <c r="M23" s="199"/>
      <c r="N23" s="173"/>
      <c r="O23" s="340">
        <f>SUM((H23*G23+L23*O11)/G23)+IF(J14&gt;I23,I23*B11,J14*B11)</f>
        <v>6</v>
      </c>
      <c r="P23" s="200">
        <f>SUM((H23*G23+L23*P11)/G23)+(J14*B11)</f>
        <v>6</v>
      </c>
      <c r="Q23" s="200">
        <f>SUM((H23*G23+L23*Q11)/G23)+(J14*B11)</f>
        <v>6</v>
      </c>
      <c r="R23" s="173"/>
      <c r="S23" s="357">
        <v>9</v>
      </c>
      <c r="T23" s="358">
        <v>8</v>
      </c>
      <c r="U23" s="359">
        <v>4000</v>
      </c>
      <c r="V23" s="360">
        <v>5</v>
      </c>
      <c r="W23" s="173"/>
      <c r="X23" s="200">
        <f t="shared" si="0"/>
        <v>99.825</v>
      </c>
      <c r="Y23" s="365">
        <v>500</v>
      </c>
      <c r="Z23" s="341">
        <f t="shared" si="7"/>
        <v>494</v>
      </c>
      <c r="AA23" s="342" t="str">
        <f t="shared" si="2"/>
        <v>да</v>
      </c>
      <c r="AB23" s="342" t="str">
        <f t="shared" si="3"/>
        <v>-</v>
      </c>
      <c r="AC23" s="342" t="str">
        <f t="shared" si="4"/>
        <v>-</v>
      </c>
      <c r="AD23" s="342" t="str">
        <f t="shared" si="5"/>
        <v>-</v>
      </c>
      <c r="AE23" s="342" t="str">
        <f t="shared" si="6"/>
        <v>-</v>
      </c>
      <c r="AF23" s="173"/>
      <c r="AG23" s="427"/>
      <c r="AH23" s="428"/>
      <c r="AI23" s="428"/>
      <c r="AJ23" s="428"/>
      <c r="AK23" s="429"/>
      <c r="AL23" s="173"/>
    </row>
    <row r="24" spans="1:38" ht="12.75" customHeight="1">
      <c r="A24" s="265" t="s">
        <v>118</v>
      </c>
      <c r="B24" s="338">
        <v>6</v>
      </c>
      <c r="C24" s="338">
        <v>6</v>
      </c>
      <c r="D24" s="338"/>
      <c r="E24" s="338"/>
      <c r="F24" s="338"/>
      <c r="G24" s="339">
        <v>2</v>
      </c>
      <c r="H24" s="200">
        <f>SUM((6+6*B2)/2)</f>
        <v>8.280000000000001</v>
      </c>
      <c r="I24" s="338">
        <v>18</v>
      </c>
      <c r="J24" s="486"/>
      <c r="K24" s="486"/>
      <c r="L24" s="199">
        <f>IF(I24-J14-(K14*9)&lt;=0,0,(I24-J14-(K14*9)))</f>
        <v>0</v>
      </c>
      <c r="M24" s="199"/>
      <c r="N24" s="173"/>
      <c r="O24" s="340">
        <f>SUM((H24*G24+L24*O11)/G24)+IF(J14&gt;I24,I24*B11,J14*B11)/2</f>
        <v>8.280000000000001</v>
      </c>
      <c r="P24" s="200">
        <f>SUM((H24*G24+L24*P11)/G24)+(J14*B11)/2</f>
        <v>8.280000000000001</v>
      </c>
      <c r="Q24" s="200">
        <f>SUM((H24*G24+L24*Q11)/G24)+(J14*B11)/2</f>
        <v>8.280000000000001</v>
      </c>
      <c r="R24" s="173"/>
      <c r="S24" s="357">
        <v>6</v>
      </c>
      <c r="T24" s="358">
        <v>2</v>
      </c>
      <c r="U24" s="359">
        <v>40</v>
      </c>
      <c r="V24" s="360">
        <v>6</v>
      </c>
      <c r="W24" s="173"/>
      <c r="X24" s="200">
        <f t="shared" si="0"/>
        <v>40.458000000000006</v>
      </c>
      <c r="Y24" s="365">
        <v>40</v>
      </c>
      <c r="Z24" s="341">
        <f t="shared" si="7"/>
        <v>31.72</v>
      </c>
      <c r="AA24" s="342" t="str">
        <f t="shared" si="2"/>
        <v>-</v>
      </c>
      <c r="AB24" s="342" t="str">
        <f t="shared" si="3"/>
        <v>-</v>
      </c>
      <c r="AC24" s="342" t="str">
        <f t="shared" si="4"/>
        <v>да</v>
      </c>
      <c r="AD24" s="342" t="str">
        <f t="shared" si="5"/>
        <v>-</v>
      </c>
      <c r="AE24" s="342" t="str">
        <f t="shared" si="6"/>
        <v>-</v>
      </c>
      <c r="AF24" s="173"/>
      <c r="AG24" s="427"/>
      <c r="AH24" s="428"/>
      <c r="AI24" s="428"/>
      <c r="AJ24" s="428"/>
      <c r="AK24" s="429"/>
      <c r="AL24" s="173"/>
    </row>
    <row r="25" spans="1:38" ht="12.75" customHeight="1">
      <c r="A25" s="265" t="s">
        <v>119</v>
      </c>
      <c r="B25" s="338">
        <v>6</v>
      </c>
      <c r="C25" s="338"/>
      <c r="D25" s="338">
        <v>1</v>
      </c>
      <c r="E25" s="338"/>
      <c r="F25" s="338"/>
      <c r="G25" s="339">
        <v>3</v>
      </c>
      <c r="H25" s="200">
        <f>SUM((6+1*B3)/3)</f>
        <v>2.8066666666666666</v>
      </c>
      <c r="I25" s="338">
        <v>22</v>
      </c>
      <c r="J25" s="486"/>
      <c r="K25" s="486"/>
      <c r="L25" s="199">
        <f>IF(I25-J14-(K14*9)&lt;=0,0,(I25-J14-(K14*9)))</f>
        <v>0</v>
      </c>
      <c r="M25" s="199"/>
      <c r="N25" s="173"/>
      <c r="O25" s="340">
        <f>SUM((H25*G25+L25*O11)/G25)+IF(J14&gt;I25,I25*B11,J14*B11)/3</f>
        <v>2.8066666666666666</v>
      </c>
      <c r="P25" s="200">
        <f>SUM((H25*G25+L25*P11)/G25)+(J14*B11)/3</f>
        <v>2.8066666666666666</v>
      </c>
      <c r="Q25" s="200">
        <f>SUM((H25*G25+L25*Q11)/G25)+(J14*B11)/3</f>
        <v>2.8066666666666666</v>
      </c>
      <c r="R25" s="173"/>
      <c r="S25" s="357">
        <v>5</v>
      </c>
      <c r="T25" s="358">
        <v>5</v>
      </c>
      <c r="U25" s="359">
        <v>27</v>
      </c>
      <c r="V25" s="360">
        <v>100</v>
      </c>
      <c r="W25" s="173"/>
      <c r="X25" s="200">
        <f t="shared" si="0"/>
        <v>34.02483333333333</v>
      </c>
      <c r="Y25" s="365">
        <v>25</v>
      </c>
      <c r="Z25" s="341">
        <f t="shared" si="7"/>
        <v>22.193333333333335</v>
      </c>
      <c r="AA25" s="342" t="str">
        <f t="shared" si="2"/>
        <v>-</v>
      </c>
      <c r="AB25" s="342" t="str">
        <f t="shared" si="3"/>
        <v>-</v>
      </c>
      <c r="AC25" s="342" t="str">
        <f t="shared" si="4"/>
        <v>да</v>
      </c>
      <c r="AD25" s="342" t="str">
        <f t="shared" si="5"/>
        <v>-</v>
      </c>
      <c r="AE25" s="342" t="str">
        <f t="shared" si="6"/>
        <v>-</v>
      </c>
      <c r="AF25" s="173"/>
      <c r="AG25" s="427"/>
      <c r="AH25" s="428"/>
      <c r="AI25" s="428"/>
      <c r="AJ25" s="428"/>
      <c r="AK25" s="429"/>
      <c r="AL25" s="173"/>
    </row>
    <row r="26" spans="1:38" ht="12.75" customHeight="1">
      <c r="A26" s="265" t="s">
        <v>120</v>
      </c>
      <c r="B26" s="338">
        <v>8</v>
      </c>
      <c r="C26" s="338">
        <v>2</v>
      </c>
      <c r="D26" s="338"/>
      <c r="E26" s="338"/>
      <c r="F26" s="338"/>
      <c r="G26" s="339">
        <v>2</v>
      </c>
      <c r="H26" s="200">
        <f>SUM((8+2*B2)/2)</f>
        <v>5.76</v>
      </c>
      <c r="I26" s="338">
        <v>36</v>
      </c>
      <c r="J26" s="486"/>
      <c r="K26" s="486"/>
      <c r="L26" s="199">
        <f>IF(I26-J14-(K14*9)&lt;=0,0,(I26-J14-(K14*9)))</f>
        <v>0</v>
      </c>
      <c r="M26" s="199"/>
      <c r="N26" s="173"/>
      <c r="O26" s="340">
        <f>SUM((H26*G26+L26*O11)/G26)+IF(J14&gt;I26,I26*B11,J14*B11)/2</f>
        <v>5.76</v>
      </c>
      <c r="P26" s="200">
        <f>SUM((H26*G26+L26*P11)/G26)+(J14*B11)/2</f>
        <v>5.76</v>
      </c>
      <c r="Q26" s="200">
        <f>SUM((H26*G26+L26*Q11)/G26)+(J14*B11)/2</f>
        <v>5.76</v>
      </c>
      <c r="R26" s="173"/>
      <c r="S26" s="357">
        <v>6</v>
      </c>
      <c r="T26" s="358">
        <v>6</v>
      </c>
      <c r="U26" s="359">
        <v>70</v>
      </c>
      <c r="V26" s="360">
        <v>13</v>
      </c>
      <c r="W26" s="173"/>
      <c r="X26" s="200">
        <f t="shared" si="0"/>
        <v>50.886</v>
      </c>
      <c r="Y26" s="365">
        <v>85</v>
      </c>
      <c r="Z26" s="341">
        <f t="shared" si="7"/>
        <v>79.24</v>
      </c>
      <c r="AA26" s="342" t="str">
        <f t="shared" si="2"/>
        <v>-</v>
      </c>
      <c r="AB26" s="342" t="str">
        <f t="shared" si="3"/>
        <v>-</v>
      </c>
      <c r="AC26" s="342" t="str">
        <f t="shared" si="4"/>
        <v>-</v>
      </c>
      <c r="AD26" s="342" t="str">
        <f t="shared" si="5"/>
        <v>-</v>
      </c>
      <c r="AE26" s="342" t="str">
        <f t="shared" si="6"/>
        <v>да</v>
      </c>
      <c r="AF26" s="173"/>
      <c r="AG26" s="427"/>
      <c r="AH26" s="428"/>
      <c r="AI26" s="428"/>
      <c r="AJ26" s="428"/>
      <c r="AK26" s="429"/>
      <c r="AL26" s="173"/>
    </row>
    <row r="27" spans="1:38" ht="12.75" customHeight="1">
      <c r="A27" s="265" t="s">
        <v>121</v>
      </c>
      <c r="B27" s="338">
        <v>8</v>
      </c>
      <c r="C27" s="338">
        <v>2</v>
      </c>
      <c r="D27" s="338"/>
      <c r="E27" s="338"/>
      <c r="F27" s="338"/>
      <c r="G27" s="339">
        <v>2</v>
      </c>
      <c r="H27" s="200">
        <f>SUM((8+2*B2)/2)</f>
        <v>5.76</v>
      </c>
      <c r="I27" s="338">
        <v>36</v>
      </c>
      <c r="J27" s="486"/>
      <c r="K27" s="486"/>
      <c r="L27" s="199">
        <f>IF(I27-J14-(K14*9)&lt;=0,0,(I27-J14-(K14*9)))</f>
        <v>0</v>
      </c>
      <c r="M27" s="199"/>
      <c r="N27" s="173"/>
      <c r="O27" s="340">
        <f>SUM((H27*G27+L27*O11)/G27)+IF(J14&gt;I27,I27*B11,J14*B11)/2</f>
        <v>5.76</v>
      </c>
      <c r="P27" s="200">
        <f>SUM((H27*G27+L27*P11)/G27)+(J14*B11)/2</f>
        <v>5.76</v>
      </c>
      <c r="Q27" s="200">
        <f>SUM((H27*G27+L27*Q11)/G27)+(J14*B11)/2</f>
        <v>5.76</v>
      </c>
      <c r="R27" s="173"/>
      <c r="S27" s="357">
        <v>5</v>
      </c>
      <c r="T27" s="358">
        <v>5</v>
      </c>
      <c r="U27" s="359">
        <v>75</v>
      </c>
      <c r="V27" s="360">
        <v>6</v>
      </c>
      <c r="W27" s="173"/>
      <c r="X27" s="200">
        <f t="shared" si="0"/>
        <v>37.2735</v>
      </c>
      <c r="Y27" s="365">
        <v>50</v>
      </c>
      <c r="Z27" s="341">
        <f t="shared" si="7"/>
        <v>44.24</v>
      </c>
      <c r="AA27" s="342" t="str">
        <f t="shared" si="2"/>
        <v>да</v>
      </c>
      <c r="AB27" s="342" t="str">
        <f t="shared" si="3"/>
        <v>-</v>
      </c>
      <c r="AC27" s="342" t="str">
        <f t="shared" si="4"/>
        <v>-</v>
      </c>
      <c r="AD27" s="342" t="str">
        <f t="shared" si="5"/>
        <v>-</v>
      </c>
      <c r="AE27" s="342" t="str">
        <f t="shared" si="6"/>
        <v>-</v>
      </c>
      <c r="AF27" s="173"/>
      <c r="AG27" s="427"/>
      <c r="AH27" s="428"/>
      <c r="AI27" s="428"/>
      <c r="AJ27" s="428"/>
      <c r="AK27" s="429"/>
      <c r="AL27" s="173"/>
    </row>
    <row r="28" spans="1:38" ht="12.75" customHeight="1">
      <c r="A28" s="265" t="s">
        <v>122</v>
      </c>
      <c r="B28" s="338"/>
      <c r="C28" s="338"/>
      <c r="D28" s="338"/>
      <c r="E28" s="338"/>
      <c r="F28" s="338">
        <v>2</v>
      </c>
      <c r="G28" s="339">
        <v>2</v>
      </c>
      <c r="H28" s="200">
        <f>SUM((2*B5)/2)</f>
        <v>3</v>
      </c>
      <c r="I28" s="338">
        <v>22</v>
      </c>
      <c r="J28" s="486"/>
      <c r="K28" s="486"/>
      <c r="L28" s="199">
        <f>IF(I28-J14-(K14*9)&lt;=0,0,(I28-J14-(K14*9)))</f>
        <v>0</v>
      </c>
      <c r="M28" s="199"/>
      <c r="N28" s="173"/>
      <c r="O28" s="340">
        <f>SUM((H28*G28+L28*O11)/G28)+IF(J14&gt;I28,I28*B11,J14*B11)/2</f>
        <v>3</v>
      </c>
      <c r="P28" s="200">
        <f>SUM((H28*G28+L28*P11)/G28)+(J14*B11)/2</f>
        <v>3</v>
      </c>
      <c r="Q28" s="200">
        <f>SUM((H28*G28+L28*Q11)/G28)+(J14*B11)/2</f>
        <v>3</v>
      </c>
      <c r="R28" s="173"/>
      <c r="S28" s="357">
        <v>8</v>
      </c>
      <c r="T28" s="358">
        <v>7</v>
      </c>
      <c r="U28" s="359">
        <v>150</v>
      </c>
      <c r="V28" s="360">
        <v>5</v>
      </c>
      <c r="W28" s="173"/>
      <c r="X28" s="200">
        <f t="shared" si="0"/>
        <v>76.3125</v>
      </c>
      <c r="Y28" s="365">
        <v>150</v>
      </c>
      <c r="Z28" s="341">
        <f t="shared" si="7"/>
        <v>147</v>
      </c>
      <c r="AA28" s="342" t="str">
        <f t="shared" si="2"/>
        <v>-</v>
      </c>
      <c r="AB28" s="342" t="str">
        <f t="shared" si="3"/>
        <v>да</v>
      </c>
      <c r="AC28" s="342" t="str">
        <f t="shared" si="4"/>
        <v>-</v>
      </c>
      <c r="AD28" s="342" t="str">
        <f t="shared" si="5"/>
        <v>-</v>
      </c>
      <c r="AE28" s="342" t="str">
        <f t="shared" si="6"/>
        <v>-</v>
      </c>
      <c r="AF28" s="173"/>
      <c r="AG28" s="427"/>
      <c r="AH28" s="428"/>
      <c r="AI28" s="428"/>
      <c r="AJ28" s="428"/>
      <c r="AK28" s="429"/>
      <c r="AL28" s="173"/>
    </row>
    <row r="29" spans="1:38" ht="12.75" customHeight="1" thickBot="1">
      <c r="A29" s="265" t="s">
        <v>123</v>
      </c>
      <c r="B29" s="338">
        <v>10</v>
      </c>
      <c r="C29" s="338"/>
      <c r="D29" s="338"/>
      <c r="E29" s="338"/>
      <c r="F29" s="338">
        <v>2</v>
      </c>
      <c r="G29" s="339">
        <v>1</v>
      </c>
      <c r="H29" s="200">
        <f>SUM(10+2*B5)</f>
        <v>16</v>
      </c>
      <c r="I29" s="338">
        <v>20</v>
      </c>
      <c r="J29" s="486"/>
      <c r="K29" s="486"/>
      <c r="L29" s="199">
        <f>IF(I29-J14-(K14*9)&lt;=0,0,(I29-J14-(K14*9)))</f>
        <v>0</v>
      </c>
      <c r="M29" s="199"/>
      <c r="N29" s="173"/>
      <c r="O29" s="340">
        <f>SUM((H29*G29+L29*O11)/G29)+IF(J14&gt;I29,I29*B11,J14*B11)</f>
        <v>16</v>
      </c>
      <c r="P29" s="200">
        <f>SUM((H29*G29+L29*P11)/G29)+(J14*B11)</f>
        <v>16</v>
      </c>
      <c r="Q29" s="200">
        <f>SUM((H29*G29+L29*Q11)/G29)+(J14*B11)</f>
        <v>16</v>
      </c>
      <c r="R29" s="173"/>
      <c r="S29" s="357">
        <v>8</v>
      </c>
      <c r="T29" s="358">
        <v>8</v>
      </c>
      <c r="U29" s="359">
        <v>300</v>
      </c>
      <c r="V29" s="360">
        <v>10</v>
      </c>
      <c r="W29" s="173"/>
      <c r="X29" s="200">
        <f t="shared" si="0"/>
        <v>96.80000000000001</v>
      </c>
      <c r="Y29" s="365">
        <v>200</v>
      </c>
      <c r="Z29" s="341">
        <f t="shared" si="7"/>
        <v>184</v>
      </c>
      <c r="AA29" s="342" t="str">
        <f t="shared" si="2"/>
        <v>да</v>
      </c>
      <c r="AB29" s="342" t="str">
        <f t="shared" si="3"/>
        <v>-</v>
      </c>
      <c r="AC29" s="342" t="str">
        <f t="shared" si="4"/>
        <v>-</v>
      </c>
      <c r="AD29" s="342" t="str">
        <f t="shared" si="5"/>
        <v>-</v>
      </c>
      <c r="AE29" s="342" t="str">
        <f t="shared" si="6"/>
        <v>-</v>
      </c>
      <c r="AF29" s="173"/>
      <c r="AG29" s="430"/>
      <c r="AH29" s="431"/>
      <c r="AI29" s="431"/>
      <c r="AJ29" s="431"/>
      <c r="AK29" s="432"/>
      <c r="AL29" s="173"/>
    </row>
    <row r="30" spans="1:38" ht="12.75" customHeight="1" thickBot="1">
      <c r="A30" s="265" t="s">
        <v>124</v>
      </c>
      <c r="B30" s="338">
        <v>6</v>
      </c>
      <c r="C30" s="338"/>
      <c r="D30" s="338"/>
      <c r="E30" s="338">
        <v>2</v>
      </c>
      <c r="F30" s="338"/>
      <c r="G30" s="339">
        <v>1</v>
      </c>
      <c r="H30" s="200">
        <f>SUM(6+2*B4)</f>
        <v>12.24</v>
      </c>
      <c r="I30" s="338">
        <v>24</v>
      </c>
      <c r="J30" s="486"/>
      <c r="K30" s="486"/>
      <c r="L30" s="199">
        <f>IF(I30-J14-(K14*9)&lt;=0,0,(I30-J14-(K14*9)))</f>
        <v>0</v>
      </c>
      <c r="M30" s="199"/>
      <c r="N30" s="173"/>
      <c r="O30" s="340">
        <f>SUM((H30*G30+L30*O11)/G30)+IF(J14&gt;I30,I30*B11,J14*B11)</f>
        <v>12.24</v>
      </c>
      <c r="P30" s="200">
        <f>SUM((H30*G30+L30*P11)/G30)+(J14*B11)</f>
        <v>12.24</v>
      </c>
      <c r="Q30" s="200">
        <f>SUM((H30*G30+L30*Q11)/G30)+(J14*B11)</f>
        <v>12.24</v>
      </c>
      <c r="R30" s="173"/>
      <c r="S30" s="357">
        <v>8</v>
      </c>
      <c r="T30" s="358">
        <v>5</v>
      </c>
      <c r="U30" s="359">
        <v>450</v>
      </c>
      <c r="V30" s="360">
        <v>20</v>
      </c>
      <c r="W30" s="173"/>
      <c r="X30" s="200">
        <f t="shared" si="0"/>
        <v>76.5765</v>
      </c>
      <c r="Y30" s="365">
        <v>100</v>
      </c>
      <c r="Z30" s="341">
        <f t="shared" si="7"/>
        <v>87.76</v>
      </c>
      <c r="AA30" s="342" t="str">
        <f t="shared" si="2"/>
        <v>да</v>
      </c>
      <c r="AB30" s="342" t="str">
        <f t="shared" si="3"/>
        <v>-</v>
      </c>
      <c r="AC30" s="342" t="str">
        <f t="shared" si="4"/>
        <v>-</v>
      </c>
      <c r="AD30" s="342" t="str">
        <f t="shared" si="5"/>
        <v>-</v>
      </c>
      <c r="AE30" s="342" t="str">
        <f t="shared" si="6"/>
        <v>-</v>
      </c>
      <c r="AF30" s="173"/>
      <c r="AG30" s="173"/>
      <c r="AH30" s="173"/>
      <c r="AI30" s="173"/>
      <c r="AJ30" s="173"/>
      <c r="AK30" s="173"/>
      <c r="AL30" s="173"/>
    </row>
    <row r="31" spans="1:38" ht="12.75" customHeight="1" thickBot="1">
      <c r="A31" s="265" t="s">
        <v>125</v>
      </c>
      <c r="B31" s="338">
        <v>20</v>
      </c>
      <c r="C31" s="338"/>
      <c r="D31" s="338"/>
      <c r="E31" s="338"/>
      <c r="F31" s="338">
        <v>1</v>
      </c>
      <c r="G31" s="339">
        <v>1</v>
      </c>
      <c r="H31" s="200">
        <f>SUM(20+1*B5)</f>
        <v>23</v>
      </c>
      <c r="I31" s="338">
        <v>50</v>
      </c>
      <c r="J31" s="487"/>
      <c r="K31" s="487"/>
      <c r="L31" s="199">
        <f>IF(I31-J14-(K14*9)&lt;=0,0,(I31-J14-(K14*9)))</f>
        <v>0</v>
      </c>
      <c r="M31" s="199"/>
      <c r="N31" s="173"/>
      <c r="O31" s="340">
        <f>SUM((H31*G31+L31*O11)/G31)+IF(J14&gt;I31,I31*B11,J14*B11)</f>
        <v>23</v>
      </c>
      <c r="P31" s="200">
        <f>SUM((H31*G31+L31*P11)/G31)+(J14*B11)</f>
        <v>23</v>
      </c>
      <c r="Q31" s="200">
        <f>SUM((H31*G31+L31*Q11)/G31)+(J14*B11)</f>
        <v>23</v>
      </c>
      <c r="R31" s="173"/>
      <c r="S31" s="361">
        <v>9</v>
      </c>
      <c r="T31" s="362">
        <v>7</v>
      </c>
      <c r="U31" s="363">
        <v>700</v>
      </c>
      <c r="V31" s="364">
        <v>5</v>
      </c>
      <c r="W31" s="173"/>
      <c r="X31" s="200">
        <f t="shared" si="0"/>
        <v>112.3375</v>
      </c>
      <c r="Y31" s="365">
        <v>200</v>
      </c>
      <c r="Z31" s="341">
        <f t="shared" si="7"/>
        <v>177</v>
      </c>
      <c r="AA31" s="342" t="str">
        <f t="shared" si="2"/>
        <v>да</v>
      </c>
      <c r="AB31" s="342" t="str">
        <f t="shared" si="3"/>
        <v>-</v>
      </c>
      <c r="AC31" s="342" t="str">
        <f t="shared" si="4"/>
        <v>-</v>
      </c>
      <c r="AD31" s="342" t="str">
        <f t="shared" si="5"/>
        <v>-</v>
      </c>
      <c r="AE31" s="342" t="str">
        <f t="shared" si="6"/>
        <v>-</v>
      </c>
      <c r="AF31" s="173"/>
      <c r="AG31" s="386" t="s">
        <v>61</v>
      </c>
      <c r="AH31" s="387"/>
      <c r="AI31" s="387"/>
      <c r="AJ31" s="387"/>
      <c r="AK31" s="388"/>
      <c r="AL31" s="173"/>
    </row>
    <row r="32" spans="1:38" ht="48.75" customHeight="1">
      <c r="A32" s="479" t="s">
        <v>126</v>
      </c>
      <c r="B32" s="480"/>
      <c r="C32" s="480"/>
      <c r="D32" s="480"/>
      <c r="E32" s="480"/>
      <c r="F32" s="480"/>
      <c r="G32" s="480"/>
      <c r="H32" s="480"/>
      <c r="I32" s="480"/>
      <c r="J32" s="480"/>
      <c r="K32" s="480"/>
      <c r="L32" s="480"/>
      <c r="M32" s="481"/>
      <c r="N32" s="173"/>
      <c r="O32" s="557" t="s">
        <v>127</v>
      </c>
      <c r="P32" s="557"/>
      <c r="Q32" s="557"/>
      <c r="R32" s="173"/>
      <c r="S32" s="173"/>
      <c r="T32" s="173"/>
      <c r="U32" s="173"/>
      <c r="V32" s="173"/>
      <c r="W32" s="173"/>
      <c r="X32" s="558" t="s">
        <v>128</v>
      </c>
      <c r="Y32" s="558"/>
      <c r="Z32" s="558"/>
      <c r="AA32" s="558"/>
      <c r="AB32" s="558"/>
      <c r="AC32" s="558"/>
      <c r="AD32" s="558"/>
      <c r="AE32" s="558"/>
      <c r="AF32" s="173"/>
      <c r="AG32" s="389"/>
      <c r="AH32" s="390"/>
      <c r="AI32" s="390"/>
      <c r="AJ32" s="390"/>
      <c r="AK32" s="391"/>
      <c r="AL32" s="173"/>
    </row>
    <row r="33" spans="1:38" ht="18.75" customHeight="1">
      <c r="A33" s="482"/>
      <c r="B33" s="483"/>
      <c r="C33" s="483"/>
      <c r="D33" s="483"/>
      <c r="E33" s="483"/>
      <c r="F33" s="483"/>
      <c r="G33" s="483"/>
      <c r="H33" s="483"/>
      <c r="I33" s="483"/>
      <c r="J33" s="483"/>
      <c r="K33" s="483"/>
      <c r="L33" s="483"/>
      <c r="M33" s="484"/>
      <c r="N33" s="173"/>
      <c r="O33" s="557"/>
      <c r="P33" s="557"/>
      <c r="Q33" s="557"/>
      <c r="R33" s="173"/>
      <c r="S33" s="173"/>
      <c r="T33" s="173"/>
      <c r="U33" s="173"/>
      <c r="V33" s="173"/>
      <c r="W33" s="173"/>
      <c r="X33" s="558"/>
      <c r="Y33" s="558"/>
      <c r="Z33" s="558"/>
      <c r="AA33" s="558"/>
      <c r="AB33" s="558"/>
      <c r="AC33" s="558"/>
      <c r="AD33" s="558"/>
      <c r="AE33" s="558"/>
      <c r="AF33" s="173"/>
      <c r="AG33" s="389"/>
      <c r="AH33" s="390"/>
      <c r="AI33" s="390"/>
      <c r="AJ33" s="390"/>
      <c r="AK33" s="391"/>
      <c r="AL33" s="173"/>
    </row>
    <row r="34" spans="1:38" ht="12.75" customHeight="1">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389"/>
      <c r="AH34" s="390"/>
      <c r="AI34" s="390"/>
      <c r="AJ34" s="390"/>
      <c r="AK34" s="391"/>
      <c r="AL34" s="173"/>
    </row>
    <row r="35" spans="1:38" ht="20.25" customHeight="1" thickBot="1">
      <c r="A35" s="488" t="s">
        <v>131</v>
      </c>
      <c r="B35" s="490" t="s">
        <v>132</v>
      </c>
      <c r="C35" s="491"/>
      <c r="D35" s="491"/>
      <c r="E35" s="491"/>
      <c r="F35" s="492"/>
      <c r="G35" s="493" t="s">
        <v>133</v>
      </c>
      <c r="H35" s="493" t="s">
        <v>129</v>
      </c>
      <c r="I35" s="493" t="s">
        <v>96</v>
      </c>
      <c r="J35" s="493" t="s">
        <v>97</v>
      </c>
      <c r="K35" s="493" t="s">
        <v>98</v>
      </c>
      <c r="L35" s="344"/>
      <c r="M35" s="344"/>
      <c r="N35" s="344"/>
      <c r="O35" s="559" t="s">
        <v>134</v>
      </c>
      <c r="P35" s="560"/>
      <c r="Q35" s="561"/>
      <c r="R35" s="173"/>
      <c r="S35" s="173"/>
      <c r="T35" s="173"/>
      <c r="U35" s="173"/>
      <c r="V35" s="173"/>
      <c r="W35" s="173"/>
      <c r="X35" s="173"/>
      <c r="Y35" s="173"/>
      <c r="Z35" s="173"/>
      <c r="AA35" s="173"/>
      <c r="AB35" s="173"/>
      <c r="AC35" s="173"/>
      <c r="AD35" s="173"/>
      <c r="AE35" s="173"/>
      <c r="AF35" s="173"/>
      <c r="AG35" s="392"/>
      <c r="AH35" s="393"/>
      <c r="AI35" s="393"/>
      <c r="AJ35" s="393"/>
      <c r="AK35" s="394"/>
      <c r="AL35" s="173"/>
    </row>
    <row r="36" spans="1:38" ht="27.75" customHeight="1">
      <c r="A36" s="489"/>
      <c r="B36" s="336" t="s">
        <v>66</v>
      </c>
      <c r="C36" s="336" t="s">
        <v>14</v>
      </c>
      <c r="D36" s="336" t="s">
        <v>19</v>
      </c>
      <c r="E36" s="336" t="s">
        <v>23</v>
      </c>
      <c r="F36" s="336" t="s">
        <v>130</v>
      </c>
      <c r="G36" s="494"/>
      <c r="H36" s="494"/>
      <c r="I36" s="494"/>
      <c r="J36" s="494"/>
      <c r="K36" s="494"/>
      <c r="L36" s="344"/>
      <c r="M36" s="344"/>
      <c r="N36" s="344"/>
      <c r="O36" s="324" t="s">
        <v>70</v>
      </c>
      <c r="P36" s="324" t="s">
        <v>71</v>
      </c>
      <c r="Q36" s="324" t="s">
        <v>72</v>
      </c>
      <c r="R36" s="173"/>
      <c r="S36" s="173"/>
      <c r="T36" s="173"/>
      <c r="U36" s="173"/>
      <c r="V36" s="173"/>
      <c r="W36" s="173"/>
      <c r="X36" s="173"/>
      <c r="Y36" s="173"/>
      <c r="Z36" s="173"/>
      <c r="AA36" s="173"/>
      <c r="AB36" s="173"/>
      <c r="AC36" s="173"/>
      <c r="AD36" s="173"/>
      <c r="AE36" s="173"/>
      <c r="AF36" s="173"/>
      <c r="AG36" s="173"/>
      <c r="AH36" s="173"/>
      <c r="AI36" s="173"/>
      <c r="AJ36" s="173"/>
      <c r="AK36" s="173"/>
      <c r="AL36" s="173"/>
    </row>
    <row r="37" spans="1:38" ht="12" customHeight="1" thickBot="1">
      <c r="A37" s="345" t="s">
        <v>135</v>
      </c>
      <c r="B37" s="287">
        <v>80</v>
      </c>
      <c r="C37" s="287">
        <v>40</v>
      </c>
      <c r="D37" s="287"/>
      <c r="E37" s="287">
        <v>10</v>
      </c>
      <c r="F37" s="287"/>
      <c r="G37" s="287">
        <v>160</v>
      </c>
      <c r="H37" s="200">
        <f>SUM(80+40*B2+10*B4)</f>
        <v>181.60000000000002</v>
      </c>
      <c r="I37" s="485">
        <v>0</v>
      </c>
      <c r="J37" s="485">
        <v>0</v>
      </c>
      <c r="K37" s="199">
        <f>IF(G37-I37-(J37*9)&lt;=0,0,(G37-I37-(J37*9)))</f>
        <v>160</v>
      </c>
      <c r="L37" s="344"/>
      <c r="M37" s="344"/>
      <c r="N37" s="344"/>
      <c r="O37" s="200">
        <f>SUM(H37+K37*O11)+(I37*B11)</f>
        <v>591.6</v>
      </c>
      <c r="P37" s="200">
        <f>SUM(H37+K37*P11)+(I37*B11)</f>
        <v>461.6</v>
      </c>
      <c r="Q37" s="200">
        <f>SUM(H37+K37*Q11)+(I37*B11)</f>
        <v>261.6</v>
      </c>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2" customHeight="1">
      <c r="A38" s="345" t="s">
        <v>136</v>
      </c>
      <c r="B38" s="287">
        <v>50</v>
      </c>
      <c r="C38" s="287">
        <v>15</v>
      </c>
      <c r="D38" s="287"/>
      <c r="E38" s="287"/>
      <c r="F38" s="287"/>
      <c r="G38" s="287">
        <v>92</v>
      </c>
      <c r="H38" s="200">
        <f>SUM(50+15*B2)</f>
        <v>76.4</v>
      </c>
      <c r="I38" s="486"/>
      <c r="J38" s="486"/>
      <c r="K38" s="199">
        <f>IF(G38-I37-(J37*9)&lt;=0,0,(G38-I37-(J37*9)))</f>
        <v>92</v>
      </c>
      <c r="L38" s="344"/>
      <c r="M38" s="344"/>
      <c r="N38" s="344"/>
      <c r="O38" s="200">
        <f>SUM(H38+K38*O11)+(I37*B11)</f>
        <v>312.15</v>
      </c>
      <c r="P38" s="200">
        <f>SUM(H38+K38*P11)+(I37*B11)</f>
        <v>237.4</v>
      </c>
      <c r="Q38" s="200">
        <f>SUM(H38+K38*Q11)+(I37*B11)</f>
        <v>122.4</v>
      </c>
      <c r="R38" s="173"/>
      <c r="S38" s="173"/>
      <c r="T38" s="173"/>
      <c r="U38" s="173"/>
      <c r="V38" s="173"/>
      <c r="W38" s="173"/>
      <c r="X38" s="173"/>
      <c r="Y38" s="173"/>
      <c r="Z38" s="173"/>
      <c r="AA38" s="173"/>
      <c r="AB38" s="173"/>
      <c r="AC38" s="173"/>
      <c r="AD38" s="173"/>
      <c r="AE38" s="173"/>
      <c r="AF38" s="173"/>
      <c r="AG38" s="386" t="s">
        <v>466</v>
      </c>
      <c r="AH38" s="387"/>
      <c r="AI38" s="387"/>
      <c r="AJ38" s="387"/>
      <c r="AK38" s="388"/>
      <c r="AL38" s="173"/>
    </row>
    <row r="39" spans="1:38" ht="12" customHeight="1">
      <c r="A39" s="345" t="s">
        <v>137</v>
      </c>
      <c r="B39" s="287">
        <v>50</v>
      </c>
      <c r="C39" s="287"/>
      <c r="D39" s="287"/>
      <c r="E39" s="287">
        <v>10</v>
      </c>
      <c r="F39" s="287"/>
      <c r="G39" s="287">
        <v>88</v>
      </c>
      <c r="H39" s="200">
        <f>SUM(50+10*B4)</f>
        <v>81.2</v>
      </c>
      <c r="I39" s="486"/>
      <c r="J39" s="486"/>
      <c r="K39" s="199">
        <f>IF(G39-I37-(J37*9)&lt;=0,0,(G39-I37-(J37*9)))</f>
        <v>88</v>
      </c>
      <c r="L39" s="344"/>
      <c r="M39" s="344"/>
      <c r="N39" s="344"/>
      <c r="O39" s="200">
        <f>SUM(H39+K39*O11)+(I37*B11)</f>
        <v>306.7</v>
      </c>
      <c r="P39" s="200">
        <f>SUM(H39+K39*P11)+(I37*B11)</f>
        <v>235.2</v>
      </c>
      <c r="Q39" s="200">
        <f>SUM(H39+K39*Q11)+(I37*B11)</f>
        <v>125.2</v>
      </c>
      <c r="R39" s="173"/>
      <c r="S39" s="173"/>
      <c r="T39" s="173"/>
      <c r="U39" s="173"/>
      <c r="V39" s="173"/>
      <c r="W39" s="173"/>
      <c r="X39" s="173"/>
      <c r="Y39" s="173"/>
      <c r="Z39" s="173"/>
      <c r="AA39" s="173"/>
      <c r="AB39" s="173"/>
      <c r="AC39" s="173"/>
      <c r="AD39" s="173"/>
      <c r="AE39" s="173"/>
      <c r="AF39" s="173"/>
      <c r="AG39" s="389"/>
      <c r="AH39" s="390"/>
      <c r="AI39" s="390"/>
      <c r="AJ39" s="390"/>
      <c r="AK39" s="391"/>
      <c r="AL39" s="173"/>
    </row>
    <row r="40" spans="1:38" ht="12" customHeight="1">
      <c r="A40" s="345" t="s">
        <v>138</v>
      </c>
      <c r="B40" s="287">
        <v>10</v>
      </c>
      <c r="C40" s="287">
        <v>5</v>
      </c>
      <c r="D40" s="287">
        <v>5</v>
      </c>
      <c r="E40" s="287">
        <v>5</v>
      </c>
      <c r="F40" s="287"/>
      <c r="G40" s="287">
        <v>48</v>
      </c>
      <c r="H40" s="200">
        <f>SUM(10+5*B2+5*B3+5*B4)</f>
        <v>46.5</v>
      </c>
      <c r="I40" s="486"/>
      <c r="J40" s="486"/>
      <c r="K40" s="199">
        <f>IF(G40-I37-(J37*9)&lt;=0,0,(G40-I37-(J37*9)))</f>
        <v>48</v>
      </c>
      <c r="L40" s="344"/>
      <c r="M40" s="344"/>
      <c r="N40" s="344"/>
      <c r="O40" s="200">
        <f>SUM(H40+K40*O11)+(I37*B11)</f>
        <v>169.5</v>
      </c>
      <c r="P40" s="200">
        <f>SUM(H40+K40*P11)+(I37*B11)</f>
        <v>130.5</v>
      </c>
      <c r="Q40" s="200">
        <f>SUM(H40+K40*Q11)+(I37*B11)</f>
        <v>70.5</v>
      </c>
      <c r="R40" s="173"/>
      <c r="S40" s="173"/>
      <c r="T40" s="173"/>
      <c r="U40" s="173"/>
      <c r="V40" s="173"/>
      <c r="W40" s="173"/>
      <c r="X40" s="173"/>
      <c r="Y40" s="173"/>
      <c r="Z40" s="173"/>
      <c r="AA40" s="173"/>
      <c r="AB40" s="173"/>
      <c r="AC40" s="173"/>
      <c r="AD40" s="173"/>
      <c r="AE40" s="173"/>
      <c r="AF40" s="173"/>
      <c r="AG40" s="389"/>
      <c r="AH40" s="390"/>
      <c r="AI40" s="390"/>
      <c r="AJ40" s="390"/>
      <c r="AK40" s="391"/>
      <c r="AL40" s="173"/>
    </row>
    <row r="41" spans="1:38" ht="11.25" customHeight="1">
      <c r="A41" s="345" t="s">
        <v>139</v>
      </c>
      <c r="B41" s="287">
        <v>50</v>
      </c>
      <c r="C41" s="287">
        <v>20</v>
      </c>
      <c r="D41" s="287">
        <v>5</v>
      </c>
      <c r="E41" s="287"/>
      <c r="F41" s="287"/>
      <c r="G41" s="287">
        <v>30</v>
      </c>
      <c r="H41" s="200">
        <f>SUM(50+20*B2+5*B3)</f>
        <v>97.3</v>
      </c>
      <c r="I41" s="486"/>
      <c r="J41" s="486"/>
      <c r="K41" s="199">
        <f>IF(G41-I37-(J37*9)&lt;=0,0,(G41-I37-(J37*9)))</f>
        <v>30</v>
      </c>
      <c r="L41" s="344"/>
      <c r="M41" s="344"/>
      <c r="N41" s="344"/>
      <c r="O41" s="200">
        <f>SUM(H41+K41*O11)+(I37*B11)</f>
        <v>174.175</v>
      </c>
      <c r="P41" s="200">
        <f>SUM(H41+K41*P11)+(I37*B11)</f>
        <v>149.8</v>
      </c>
      <c r="Q41" s="200">
        <f>SUM(H41+K41*Q11)+(I37*B11)</f>
        <v>112.3</v>
      </c>
      <c r="R41" s="173"/>
      <c r="S41" s="173"/>
      <c r="T41" s="173"/>
      <c r="U41" s="173"/>
      <c r="V41" s="173"/>
      <c r="W41" s="173"/>
      <c r="X41" s="173"/>
      <c r="Y41" s="173"/>
      <c r="Z41" s="173"/>
      <c r="AA41" s="173"/>
      <c r="AB41" s="173"/>
      <c r="AC41" s="173"/>
      <c r="AD41" s="173"/>
      <c r="AE41" s="173"/>
      <c r="AF41" s="173"/>
      <c r="AG41" s="389"/>
      <c r="AH41" s="390"/>
      <c r="AI41" s="390"/>
      <c r="AJ41" s="390"/>
      <c r="AK41" s="391"/>
      <c r="AL41" s="173"/>
    </row>
    <row r="42" spans="1:38" ht="12.75" customHeight="1" thickBot="1">
      <c r="A42" s="345" t="s">
        <v>140</v>
      </c>
      <c r="B42" s="287">
        <v>25</v>
      </c>
      <c r="C42" s="287">
        <v>25</v>
      </c>
      <c r="D42" s="287">
        <v>15</v>
      </c>
      <c r="E42" s="287"/>
      <c r="F42" s="287"/>
      <c r="G42" s="287">
        <v>48</v>
      </c>
      <c r="H42" s="200">
        <f>SUM(25+25*B2+15*B3)</f>
        <v>105.3</v>
      </c>
      <c r="I42" s="486"/>
      <c r="J42" s="486"/>
      <c r="K42" s="199">
        <f>IF(G42-I37-(J37*9)&lt;=0,0,(G42-I37-(J37*9)))</f>
        <v>48</v>
      </c>
      <c r="L42" s="344"/>
      <c r="M42" s="344"/>
      <c r="N42" s="344"/>
      <c r="O42" s="200">
        <f>SUM(H42+K42*O11)+(I37*B11)</f>
        <v>228.3</v>
      </c>
      <c r="P42" s="200">
        <f>SUM(H42+K42*P11)+(I37*B11)</f>
        <v>189.3</v>
      </c>
      <c r="Q42" s="200">
        <f>SUM(H42+K42*Q11)+(I37*B11)</f>
        <v>129.3</v>
      </c>
      <c r="R42" s="173"/>
      <c r="S42" s="173"/>
      <c r="T42" s="173"/>
      <c r="U42" s="173"/>
      <c r="V42" s="173"/>
      <c r="W42" s="173"/>
      <c r="X42" s="173"/>
      <c r="Y42" s="173"/>
      <c r="Z42" s="173"/>
      <c r="AA42" s="173"/>
      <c r="AB42" s="173"/>
      <c r="AC42" s="173"/>
      <c r="AD42" s="173"/>
      <c r="AE42" s="173"/>
      <c r="AF42" s="173"/>
      <c r="AG42" s="392"/>
      <c r="AH42" s="393"/>
      <c r="AI42" s="393"/>
      <c r="AJ42" s="393"/>
      <c r="AK42" s="394"/>
      <c r="AL42" s="173"/>
    </row>
    <row r="43" spans="1:38" ht="13.5" customHeight="1">
      <c r="A43" s="345" t="s">
        <v>141</v>
      </c>
      <c r="B43" s="287">
        <v>50</v>
      </c>
      <c r="C43" s="287">
        <v>20</v>
      </c>
      <c r="D43" s="287">
        <v>10</v>
      </c>
      <c r="E43" s="287"/>
      <c r="F43" s="287">
        <v>1</v>
      </c>
      <c r="G43" s="287">
        <v>60</v>
      </c>
      <c r="H43" s="200">
        <f>SUM(50+20*B2+10*B3+1*B7)</f>
        <v>139.4</v>
      </c>
      <c r="I43" s="486"/>
      <c r="J43" s="486"/>
      <c r="K43" s="199">
        <f>IF(G43-I37-(J37*9)&lt;=0,0,(G43-I37-(J37*9)))</f>
        <v>60</v>
      </c>
      <c r="L43" s="344"/>
      <c r="M43" s="344"/>
      <c r="N43" s="344"/>
      <c r="O43" s="200">
        <f>SUM(H43+K43*O11)+(I37*B11)</f>
        <v>293.15</v>
      </c>
      <c r="P43" s="200">
        <f>SUM(H43+K43*P11)+(I37*B11)</f>
        <v>244.4</v>
      </c>
      <c r="Q43" s="200">
        <f>SUM(H43+K43*Q11)+(I37*B11)</f>
        <v>169.4</v>
      </c>
      <c r="R43" s="173"/>
      <c r="S43" s="173"/>
      <c r="T43" s="173"/>
      <c r="U43" s="173"/>
      <c r="V43" s="173"/>
      <c r="W43" s="173"/>
      <c r="X43" s="173"/>
      <c r="Y43" s="173"/>
      <c r="Z43" s="173"/>
      <c r="AA43" s="173"/>
      <c r="AB43" s="173"/>
      <c r="AC43" s="173"/>
      <c r="AD43" s="173"/>
      <c r="AE43" s="173"/>
      <c r="AF43" s="173"/>
      <c r="AG43" s="173"/>
      <c r="AH43" s="173"/>
      <c r="AI43" s="173"/>
      <c r="AJ43" s="173"/>
      <c r="AK43" s="173"/>
      <c r="AL43" s="173"/>
    </row>
    <row r="44" spans="1:38" ht="12.75" customHeight="1">
      <c r="A44" s="345" t="s">
        <v>142</v>
      </c>
      <c r="B44" s="287">
        <v>50</v>
      </c>
      <c r="C44" s="287">
        <v>20</v>
      </c>
      <c r="D44" s="287">
        <v>20</v>
      </c>
      <c r="E44" s="287"/>
      <c r="F44" s="287"/>
      <c r="G44" s="287">
        <v>100</v>
      </c>
      <c r="H44" s="200">
        <f>SUM(50+20*B2+20*B3)</f>
        <v>133.6</v>
      </c>
      <c r="I44" s="486"/>
      <c r="J44" s="486"/>
      <c r="K44" s="199">
        <f>IF(G44-I37-(J37*9)&lt;=0,0,(G44-I37-(J37*9)))</f>
        <v>100</v>
      </c>
      <c r="L44" s="344"/>
      <c r="M44" s="344"/>
      <c r="N44" s="344"/>
      <c r="O44" s="200">
        <f>SUM(H44+K44*O11)+(I37*B11)</f>
        <v>389.85</v>
      </c>
      <c r="P44" s="200">
        <f>SUM(H44+K44*P11)+(I37*B11)</f>
        <v>308.6</v>
      </c>
      <c r="Q44" s="200">
        <f>SUM(H44+K44*Q11)+(I37*B11)</f>
        <v>183.6</v>
      </c>
      <c r="R44" s="173"/>
      <c r="S44" s="173"/>
      <c r="T44" s="173"/>
      <c r="U44" s="173"/>
      <c r="V44" s="173"/>
      <c r="W44" s="173"/>
      <c r="X44" s="173"/>
      <c r="Y44" s="173"/>
      <c r="Z44" s="173"/>
      <c r="AA44" s="173"/>
      <c r="AB44" s="173"/>
      <c r="AC44" s="173"/>
      <c r="AD44" s="173"/>
      <c r="AE44" s="173"/>
      <c r="AF44" s="173"/>
      <c r="AG44" s="173"/>
      <c r="AH44" s="173"/>
      <c r="AI44" s="173"/>
      <c r="AJ44" s="173"/>
      <c r="AK44" s="173"/>
      <c r="AL44" s="173"/>
    </row>
    <row r="45" spans="1:38" ht="14.25" customHeight="1">
      <c r="A45" s="345" t="s">
        <v>143</v>
      </c>
      <c r="B45" s="287">
        <v>100</v>
      </c>
      <c r="C45" s="287">
        <v>50</v>
      </c>
      <c r="D45" s="287"/>
      <c r="E45" s="287">
        <v>20</v>
      </c>
      <c r="F45" s="287"/>
      <c r="G45" s="287">
        <v>120</v>
      </c>
      <c r="H45" s="200">
        <f>SUM(100+50*B2+20*B4)</f>
        <v>250.4</v>
      </c>
      <c r="I45" s="486"/>
      <c r="J45" s="486"/>
      <c r="K45" s="199">
        <f>IF(G45-I37-(J37*9)&lt;=0,0,(G45-I37-(J37*9)))</f>
        <v>120</v>
      </c>
      <c r="L45" s="344"/>
      <c r="M45" s="344"/>
      <c r="N45" s="344"/>
      <c r="O45" s="200">
        <f>SUM(H45+K45*O11)+(I37*B11)</f>
        <v>557.9</v>
      </c>
      <c r="P45" s="200">
        <f>SUM(H45+K45*P11)+(I37*B11)</f>
        <v>460.4</v>
      </c>
      <c r="Q45" s="200">
        <f>SUM(H45+K45*Q11)+(I37*B11)</f>
        <v>310.4</v>
      </c>
      <c r="R45" s="173"/>
      <c r="S45" s="173"/>
      <c r="T45" s="173"/>
      <c r="U45" s="173"/>
      <c r="V45" s="173"/>
      <c r="W45" s="173"/>
      <c r="X45" s="173"/>
      <c r="Y45" s="173"/>
      <c r="Z45" s="173"/>
      <c r="AA45" s="173"/>
      <c r="AB45" s="173"/>
      <c r="AC45" s="173"/>
      <c r="AD45" s="173"/>
      <c r="AE45" s="173"/>
      <c r="AF45" s="173"/>
      <c r="AG45" s="173"/>
      <c r="AH45" s="173"/>
      <c r="AI45" s="173"/>
      <c r="AJ45" s="173"/>
      <c r="AK45" s="173"/>
      <c r="AL45" s="173"/>
    </row>
    <row r="46" spans="1:38" ht="12" customHeight="1">
      <c r="A46" s="345" t="s">
        <v>144</v>
      </c>
      <c r="B46" s="287">
        <v>30</v>
      </c>
      <c r="C46" s="287"/>
      <c r="D46" s="287"/>
      <c r="E46" s="287">
        <v>35</v>
      </c>
      <c r="F46" s="287"/>
      <c r="G46" s="287">
        <v>90</v>
      </c>
      <c r="H46" s="200">
        <f>SUM(30+35*B4)</f>
        <v>139.2</v>
      </c>
      <c r="I46" s="486"/>
      <c r="J46" s="486"/>
      <c r="K46" s="199">
        <f>IF(G46-I37-(J37*9)&lt;=0,0,(G46-I37-(J37*9)))</f>
        <v>90</v>
      </c>
      <c r="L46" s="344"/>
      <c r="M46" s="344"/>
      <c r="N46" s="344"/>
      <c r="O46" s="200">
        <f>SUM(H46+K46*O11)+(I37*B11)</f>
        <v>369.825</v>
      </c>
      <c r="P46" s="200">
        <f>SUM(H46+K46*P11)+(I37*B11)</f>
        <v>296.7</v>
      </c>
      <c r="Q46" s="200">
        <f>SUM(H46+K46*Q11)+(I37*B11)</f>
        <v>184.2</v>
      </c>
      <c r="R46" s="173"/>
      <c r="S46" s="173"/>
      <c r="T46" s="173"/>
      <c r="U46" s="173"/>
      <c r="V46" s="173"/>
      <c r="W46" s="173"/>
      <c r="X46" s="173"/>
      <c r="Y46" s="173"/>
      <c r="Z46" s="173"/>
      <c r="AA46" s="173"/>
      <c r="AB46" s="173"/>
      <c r="AC46" s="173"/>
      <c r="AD46" s="173"/>
      <c r="AE46" s="173"/>
      <c r="AF46" s="173"/>
      <c r="AG46" s="173"/>
      <c r="AH46" s="173"/>
      <c r="AI46" s="173"/>
      <c r="AJ46" s="173"/>
      <c r="AK46" s="173"/>
      <c r="AL46" s="173"/>
    </row>
    <row r="47" spans="1:38" ht="14.25" customHeight="1">
      <c r="A47" s="345" t="s">
        <v>145</v>
      </c>
      <c r="B47" s="287"/>
      <c r="C47" s="287">
        <v>15</v>
      </c>
      <c r="D47" s="287"/>
      <c r="E47" s="287">
        <v>25</v>
      </c>
      <c r="F47" s="287"/>
      <c r="G47" s="287">
        <v>50</v>
      </c>
      <c r="H47" s="200">
        <f>SUM(15*B2+25*B4)</f>
        <v>104.4</v>
      </c>
      <c r="I47" s="486"/>
      <c r="J47" s="486"/>
      <c r="K47" s="199">
        <f>IF(G47-I37-(J37*9)&lt;=0,0,(G47-I37-(J37*9)))</f>
        <v>50</v>
      </c>
      <c r="L47" s="344"/>
      <c r="M47" s="344"/>
      <c r="N47" s="344"/>
      <c r="O47" s="200">
        <f>SUM(H47+K47*O11)+(I37*B11)</f>
        <v>232.525</v>
      </c>
      <c r="P47" s="200">
        <f>SUM(H47+K47*P11)+(I37*B11)</f>
        <v>191.9</v>
      </c>
      <c r="Q47" s="200">
        <f>SUM(H47+K47*Q11)+(I37*B11)</f>
        <v>129.4</v>
      </c>
      <c r="R47" s="173"/>
      <c r="S47" s="173"/>
      <c r="T47" s="173"/>
      <c r="U47" s="173"/>
      <c r="V47" s="173"/>
      <c r="W47" s="173"/>
      <c r="X47" s="173"/>
      <c r="Y47" s="173"/>
      <c r="Z47" s="173"/>
      <c r="AA47" s="173"/>
      <c r="AB47" s="173"/>
      <c r="AC47" s="173"/>
      <c r="AD47" s="173"/>
      <c r="AE47" s="173"/>
      <c r="AF47" s="173"/>
      <c r="AG47" s="173"/>
      <c r="AH47" s="173"/>
      <c r="AI47" s="173"/>
      <c r="AJ47" s="173"/>
      <c r="AK47" s="173"/>
      <c r="AL47" s="173"/>
    </row>
    <row r="48" spans="1:38" ht="14.25" customHeight="1">
      <c r="A48" s="345" t="s">
        <v>146</v>
      </c>
      <c r="B48" s="287">
        <v>60</v>
      </c>
      <c r="C48" s="287">
        <v>25</v>
      </c>
      <c r="D48" s="287"/>
      <c r="E48" s="287">
        <v>10</v>
      </c>
      <c r="F48" s="287"/>
      <c r="G48" s="287">
        <v>52</v>
      </c>
      <c r="H48" s="200">
        <f>SUM(60+25*B2+10*B4)</f>
        <v>135.2</v>
      </c>
      <c r="I48" s="486"/>
      <c r="J48" s="486"/>
      <c r="K48" s="199">
        <f>IF(G48-I37-(J37*9)&lt;=0,0,(G48-I37-(J37*9)))</f>
        <v>52</v>
      </c>
      <c r="L48" s="344"/>
      <c r="M48" s="344"/>
      <c r="N48" s="344"/>
      <c r="O48" s="200">
        <f>SUM(H48+K48*O11)+(I37*B11)</f>
        <v>268.45</v>
      </c>
      <c r="P48" s="200">
        <f>SUM(H48+K48*P11)+(I37*B11)</f>
        <v>226.2</v>
      </c>
      <c r="Q48" s="200">
        <f>SUM(H48+K48*Q11)+(I37*B11)</f>
        <v>161.2</v>
      </c>
      <c r="R48" s="173"/>
      <c r="S48" s="173"/>
      <c r="T48" s="173"/>
      <c r="U48" s="173"/>
      <c r="V48" s="173"/>
      <c r="W48" s="173"/>
      <c r="X48" s="173"/>
      <c r="Y48" s="173"/>
      <c r="Z48" s="173"/>
      <c r="AA48" s="173"/>
      <c r="AB48" s="173"/>
      <c r="AC48" s="173"/>
      <c r="AD48" s="173"/>
      <c r="AE48" s="173"/>
      <c r="AF48" s="173"/>
      <c r="AG48" s="173"/>
      <c r="AH48" s="173"/>
      <c r="AI48" s="173"/>
      <c r="AJ48" s="173"/>
      <c r="AK48" s="173"/>
      <c r="AL48" s="173"/>
    </row>
    <row r="49" spans="1:38" ht="12.75" customHeight="1">
      <c r="A49" s="345" t="s">
        <v>147</v>
      </c>
      <c r="B49" s="287">
        <v>60</v>
      </c>
      <c r="C49" s="287"/>
      <c r="D49" s="287">
        <v>90</v>
      </c>
      <c r="E49" s="287"/>
      <c r="F49" s="287"/>
      <c r="G49" s="287">
        <v>100</v>
      </c>
      <c r="H49" s="200">
        <f>SUM(150+90*B2)</f>
        <v>308.4</v>
      </c>
      <c r="I49" s="486"/>
      <c r="J49" s="486"/>
      <c r="K49" s="199">
        <f>IF(G49-I37-(J37*9)&lt;=0,0,(G49-I37-(J37*9)))</f>
        <v>100</v>
      </c>
      <c r="L49" s="346"/>
      <c r="M49" s="344"/>
      <c r="N49" s="344"/>
      <c r="O49" s="200">
        <f>SUM(H49+K49*O11)+(I37*B11)</f>
        <v>564.65</v>
      </c>
      <c r="P49" s="200">
        <f>SUM(H49+K49*P11)+(I37*B11)</f>
        <v>483.4</v>
      </c>
      <c r="Q49" s="200">
        <f>SUM(H49+K49*Q11)+(I37*B11)</f>
        <v>358.4</v>
      </c>
      <c r="R49" s="173"/>
      <c r="S49" s="173"/>
      <c r="T49" s="173"/>
      <c r="U49" s="173"/>
      <c r="V49" s="173"/>
      <c r="W49" s="173"/>
      <c r="X49" s="173"/>
      <c r="Y49" s="173"/>
      <c r="Z49" s="173"/>
      <c r="AA49" s="173"/>
      <c r="AB49" s="173"/>
      <c r="AC49" s="173"/>
      <c r="AD49" s="173"/>
      <c r="AE49" s="173"/>
      <c r="AF49" s="173"/>
      <c r="AG49" s="173"/>
      <c r="AH49" s="173"/>
      <c r="AI49" s="173"/>
      <c r="AJ49" s="173"/>
      <c r="AK49" s="173"/>
      <c r="AL49" s="173"/>
    </row>
    <row r="50" spans="1:38" ht="12.75" customHeight="1">
      <c r="A50" s="345" t="s">
        <v>148</v>
      </c>
      <c r="B50" s="287">
        <v>150</v>
      </c>
      <c r="C50" s="287"/>
      <c r="D50" s="287">
        <v>90</v>
      </c>
      <c r="E50" s="287"/>
      <c r="F50" s="287"/>
      <c r="G50" s="287">
        <v>150</v>
      </c>
      <c r="H50" s="200">
        <f>SUM(150+90*B3)</f>
        <v>367.79999999999995</v>
      </c>
      <c r="I50" s="487"/>
      <c r="J50" s="487"/>
      <c r="K50" s="199">
        <f>IF(G50-I37-(J37*9)&lt;=0,0,(G50-I37-(J37*9)))</f>
        <v>150</v>
      </c>
      <c r="L50" s="344"/>
      <c r="M50" s="344"/>
      <c r="N50" s="344"/>
      <c r="O50" s="200">
        <f>SUM(H50+K50*O11)+(I37*B11)</f>
        <v>752.175</v>
      </c>
      <c r="P50" s="200">
        <f>SUM(H50+K50*P11)+(I37*B11)</f>
        <v>630.3</v>
      </c>
      <c r="Q50" s="200">
        <f>SUM(H50+K50*Q11)+(I37*B11)</f>
        <v>442.79999999999995</v>
      </c>
      <c r="R50" s="173"/>
      <c r="S50" s="173"/>
      <c r="T50" s="173"/>
      <c r="U50" s="173"/>
      <c r="V50" s="173"/>
      <c r="W50" s="173"/>
      <c r="X50" s="173"/>
      <c r="Y50" s="173"/>
      <c r="Z50" s="173"/>
      <c r="AA50" s="173"/>
      <c r="AB50" s="173"/>
      <c r="AC50" s="173"/>
      <c r="AD50" s="173"/>
      <c r="AE50" s="173"/>
      <c r="AF50" s="173"/>
      <c r="AG50" s="173"/>
      <c r="AH50" s="173"/>
      <c r="AI50" s="173"/>
      <c r="AJ50" s="173"/>
      <c r="AK50" s="173"/>
      <c r="AL50" s="173"/>
    </row>
    <row r="51" spans="1:38" ht="12.75" customHeight="1">
      <c r="A51" s="173"/>
      <c r="B51" s="173"/>
      <c r="C51" s="173"/>
      <c r="D51" s="173"/>
      <c r="E51" s="173"/>
      <c r="F51" s="173"/>
      <c r="G51" s="173"/>
      <c r="H51" s="173"/>
      <c r="I51" s="173"/>
      <c r="J51" s="173"/>
      <c r="K51" s="173"/>
      <c r="L51" s="344"/>
      <c r="M51" s="344"/>
      <c r="N51" s="344"/>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row>
    <row r="52" spans="1:38" ht="18.75" customHeight="1" thickBot="1">
      <c r="A52" s="562" t="s">
        <v>279</v>
      </c>
      <c r="B52" s="490" t="s">
        <v>132</v>
      </c>
      <c r="C52" s="491"/>
      <c r="D52" s="491"/>
      <c r="E52" s="491"/>
      <c r="F52" s="492"/>
      <c r="G52" s="493" t="s">
        <v>281</v>
      </c>
      <c r="H52" s="493" t="s">
        <v>129</v>
      </c>
      <c r="I52" s="493" t="s">
        <v>96</v>
      </c>
      <c r="J52" s="493" t="s">
        <v>97</v>
      </c>
      <c r="K52" s="493" t="s">
        <v>98</v>
      </c>
      <c r="L52" s="173"/>
      <c r="M52" s="173"/>
      <c r="N52" s="173"/>
      <c r="O52" s="559" t="s">
        <v>453</v>
      </c>
      <c r="P52" s="560"/>
      <c r="Q52" s="561"/>
      <c r="R52" s="173"/>
      <c r="S52" s="467" t="s">
        <v>454</v>
      </c>
      <c r="T52" s="468"/>
      <c r="U52" s="468"/>
      <c r="V52" s="469"/>
      <c r="W52" s="328"/>
      <c r="X52" s="173"/>
      <c r="Y52" s="173"/>
      <c r="Z52" s="173"/>
      <c r="AA52" s="173"/>
      <c r="AB52" s="173"/>
      <c r="AC52" s="173"/>
      <c r="AD52" s="173"/>
      <c r="AE52" s="173"/>
      <c r="AF52" s="173"/>
      <c r="AG52" s="173"/>
      <c r="AH52" s="173"/>
      <c r="AI52" s="173"/>
      <c r="AJ52" s="173"/>
      <c r="AK52" s="173"/>
      <c r="AL52" s="173"/>
    </row>
    <row r="53" spans="1:38" ht="17.25" customHeight="1">
      <c r="A53" s="563"/>
      <c r="B53" s="336" t="s">
        <v>16</v>
      </c>
      <c r="C53" s="336" t="s">
        <v>21</v>
      </c>
      <c r="D53" s="336" t="s">
        <v>25</v>
      </c>
      <c r="E53" s="336" t="s">
        <v>29</v>
      </c>
      <c r="F53" s="336" t="s">
        <v>280</v>
      </c>
      <c r="G53" s="494"/>
      <c r="H53" s="494"/>
      <c r="I53" s="494"/>
      <c r="J53" s="494"/>
      <c r="K53" s="494"/>
      <c r="L53" s="173"/>
      <c r="M53" s="173"/>
      <c r="N53" s="173"/>
      <c r="O53" s="324" t="s">
        <v>70</v>
      </c>
      <c r="P53" s="324" t="s">
        <v>71</v>
      </c>
      <c r="Q53" s="324" t="s">
        <v>72</v>
      </c>
      <c r="R53" s="173"/>
      <c r="S53" s="347" t="s">
        <v>250</v>
      </c>
      <c r="T53" s="348" t="s">
        <v>253</v>
      </c>
      <c r="U53" s="349" t="s">
        <v>256</v>
      </c>
      <c r="V53" s="348" t="s">
        <v>258</v>
      </c>
      <c r="W53" s="173"/>
      <c r="X53" s="470" t="s">
        <v>455</v>
      </c>
      <c r="Y53" s="471"/>
      <c r="Z53" s="471"/>
      <c r="AA53" s="471"/>
      <c r="AB53" s="471"/>
      <c r="AC53" s="471"/>
      <c r="AD53" s="471"/>
      <c r="AE53" s="472"/>
      <c r="AF53" s="173"/>
      <c r="AG53" s="173"/>
      <c r="AH53" s="173"/>
      <c r="AI53" s="173"/>
      <c r="AJ53" s="173"/>
      <c r="AK53" s="173"/>
      <c r="AL53" s="173"/>
    </row>
    <row r="54" spans="1:38" ht="12.75" customHeight="1">
      <c r="A54" s="345" t="s">
        <v>282</v>
      </c>
      <c r="B54" s="287"/>
      <c r="C54" s="287">
        <v>10</v>
      </c>
      <c r="D54" s="287"/>
      <c r="E54" s="287"/>
      <c r="F54" s="287">
        <v>1</v>
      </c>
      <c r="G54" s="287">
        <v>10</v>
      </c>
      <c r="H54" s="200">
        <f>SUM(B54+C54*B2+D54*B3+E54*B4+F54*B7)</f>
        <v>47.6</v>
      </c>
      <c r="I54" s="485">
        <v>0</v>
      </c>
      <c r="J54" s="485">
        <v>0</v>
      </c>
      <c r="K54" s="199">
        <f>IF(G54-I54-(J54*9)&lt;=0,0,(G54-I54-(J54*9)))</f>
        <v>10</v>
      </c>
      <c r="L54" s="173"/>
      <c r="M54" s="173"/>
      <c r="N54" s="173"/>
      <c r="O54" s="200">
        <f>SUM(H54+K54*O11)+(I54*B11)</f>
        <v>73.225</v>
      </c>
      <c r="P54" s="200">
        <f>SUM(H54+K54*P11)+(I54*B11)</f>
        <v>65.1</v>
      </c>
      <c r="Q54" s="200">
        <f>SUM(H54+K54*Q11)+(I54*B11)</f>
        <v>52.6</v>
      </c>
      <c r="R54" s="173"/>
      <c r="S54" s="200">
        <f>O54*0.3</f>
        <v>21.967499999999998</v>
      </c>
      <c r="T54" s="200">
        <f>O54*0.6</f>
        <v>43.934999999999995</v>
      </c>
      <c r="U54" s="200">
        <f>O54*2</f>
        <v>146.45</v>
      </c>
      <c r="V54" s="200">
        <f>O54*5</f>
        <v>366.125</v>
      </c>
      <c r="W54" s="173"/>
      <c r="X54" s="473"/>
      <c r="Y54" s="474"/>
      <c r="Z54" s="474"/>
      <c r="AA54" s="474"/>
      <c r="AB54" s="474"/>
      <c r="AC54" s="474"/>
      <c r="AD54" s="474"/>
      <c r="AE54" s="475"/>
      <c r="AF54" s="173"/>
      <c r="AG54" s="173"/>
      <c r="AH54" s="173"/>
      <c r="AI54" s="173"/>
      <c r="AJ54" s="173"/>
      <c r="AK54" s="173"/>
      <c r="AL54" s="173"/>
    </row>
    <row r="55" spans="1:38" ht="12.75" customHeight="1">
      <c r="A55" s="345" t="s">
        <v>283</v>
      </c>
      <c r="B55" s="287"/>
      <c r="C55" s="287">
        <v>5</v>
      </c>
      <c r="D55" s="287"/>
      <c r="E55" s="287">
        <v>5</v>
      </c>
      <c r="F55" s="287">
        <v>1</v>
      </c>
      <c r="G55" s="287">
        <v>15</v>
      </c>
      <c r="H55" s="200">
        <f>SUM(B55+C55*B2+D55*B3+E55*B4+F55*B7)</f>
        <v>54.400000000000006</v>
      </c>
      <c r="I55" s="486"/>
      <c r="J55" s="486"/>
      <c r="K55" s="199">
        <f>IF(G55-I54-(J54*9)&lt;=0,0,(G55-I54-(J54*9)))</f>
        <v>15</v>
      </c>
      <c r="L55" s="173"/>
      <c r="M55" s="173"/>
      <c r="N55" s="173"/>
      <c r="O55" s="200">
        <f>SUM(H55+K55*O11)+(I55*B11)</f>
        <v>92.8375</v>
      </c>
      <c r="P55" s="200">
        <f>SUM(H55+K55*P11)+(I55*B11)</f>
        <v>80.65</v>
      </c>
      <c r="Q55" s="200">
        <f>SUM(H55+K55*Q11)+(I55*B11)</f>
        <v>61.900000000000006</v>
      </c>
      <c r="R55" s="173"/>
      <c r="S55" s="200">
        <f aca="true" t="shared" si="8" ref="S55:S67">O55*0.3</f>
        <v>27.85125</v>
      </c>
      <c r="T55" s="200">
        <f aca="true" t="shared" si="9" ref="T55:T67">O55*0.6</f>
        <v>55.7025</v>
      </c>
      <c r="U55" s="200">
        <f aca="true" t="shared" si="10" ref="U55:U67">O55*2</f>
        <v>185.675</v>
      </c>
      <c r="V55" s="200">
        <f aca="true" t="shared" si="11" ref="V55:V67">O55*5</f>
        <v>464.1875</v>
      </c>
      <c r="W55" s="173"/>
      <c r="X55" s="473"/>
      <c r="Y55" s="474"/>
      <c r="Z55" s="474"/>
      <c r="AA55" s="474"/>
      <c r="AB55" s="474"/>
      <c r="AC55" s="474"/>
      <c r="AD55" s="474"/>
      <c r="AE55" s="475"/>
      <c r="AF55" s="173"/>
      <c r="AG55" s="173"/>
      <c r="AH55" s="173"/>
      <c r="AI55" s="173"/>
      <c r="AJ55" s="173"/>
      <c r="AK55" s="173"/>
      <c r="AL55" s="173"/>
    </row>
    <row r="56" spans="1:38" ht="12.75" customHeight="1">
      <c r="A56" s="345" t="s">
        <v>284</v>
      </c>
      <c r="B56" s="287">
        <v>10</v>
      </c>
      <c r="C56" s="287"/>
      <c r="D56" s="287"/>
      <c r="E56" s="287">
        <v>10</v>
      </c>
      <c r="F56" s="287">
        <v>1</v>
      </c>
      <c r="G56" s="287">
        <v>16</v>
      </c>
      <c r="H56" s="200">
        <f>SUM(B56+C56*B2+D56*B3+E56*B4+F56*B7)</f>
        <v>71.2</v>
      </c>
      <c r="I56" s="486"/>
      <c r="J56" s="486"/>
      <c r="K56" s="199">
        <f>IF(G56-I54-(J54*9)&lt;=0,0,(G56-I54-(J54*9)))</f>
        <v>16</v>
      </c>
      <c r="L56" s="173"/>
      <c r="M56" s="173"/>
      <c r="N56" s="173"/>
      <c r="O56" s="200">
        <f>SUM(H56+K56*O11)+(I56*B11)</f>
        <v>112.2</v>
      </c>
      <c r="P56" s="200">
        <f>SUM(H56+K56*P11)+(I56*B11)</f>
        <v>99.2</v>
      </c>
      <c r="Q56" s="200">
        <f>SUM(H56+K56*Q11)+(I56*B11)</f>
        <v>79.2</v>
      </c>
      <c r="R56" s="173"/>
      <c r="S56" s="200">
        <f t="shared" si="8"/>
        <v>33.66</v>
      </c>
      <c r="T56" s="200">
        <f t="shared" si="9"/>
        <v>67.32</v>
      </c>
      <c r="U56" s="200">
        <f t="shared" si="10"/>
        <v>224.4</v>
      </c>
      <c r="V56" s="200">
        <f t="shared" si="11"/>
        <v>561</v>
      </c>
      <c r="W56" s="173"/>
      <c r="X56" s="473"/>
      <c r="Y56" s="474"/>
      <c r="Z56" s="474"/>
      <c r="AA56" s="474"/>
      <c r="AB56" s="474"/>
      <c r="AC56" s="474"/>
      <c r="AD56" s="474"/>
      <c r="AE56" s="475"/>
      <c r="AF56" s="173"/>
      <c r="AG56" s="173"/>
      <c r="AH56" s="173"/>
      <c r="AI56" s="173"/>
      <c r="AJ56" s="173"/>
      <c r="AK56" s="173"/>
      <c r="AL56" s="173"/>
    </row>
    <row r="57" spans="1:38" ht="12.75" customHeight="1">
      <c r="A57" s="345" t="s">
        <v>285</v>
      </c>
      <c r="B57" s="287">
        <v>5</v>
      </c>
      <c r="C57" s="287">
        <v>5</v>
      </c>
      <c r="D57" s="287"/>
      <c r="E57" s="287"/>
      <c r="F57" s="287">
        <v>1</v>
      </c>
      <c r="G57" s="287">
        <v>8</v>
      </c>
      <c r="H57" s="200">
        <f>SUM(B57+C57*B2+D57*B3+E57*B4+F57*B7)</f>
        <v>43.8</v>
      </c>
      <c r="I57" s="486"/>
      <c r="J57" s="486"/>
      <c r="K57" s="199">
        <f>IF(G57-I54-(J54*9)&lt;=0,0,(G57-I54-(J54*9)))</f>
        <v>8</v>
      </c>
      <c r="L57" s="173"/>
      <c r="M57" s="173"/>
      <c r="N57" s="173"/>
      <c r="O57" s="200">
        <f>SUM(H57+K57*O11)+(I57*B11)</f>
        <v>64.3</v>
      </c>
      <c r="P57" s="200">
        <f>SUM(H57+K57*P11)+(I57*B11)</f>
        <v>57.8</v>
      </c>
      <c r="Q57" s="200">
        <f>SUM(H57+K57*Q11)+(I57*B11)</f>
        <v>47.8</v>
      </c>
      <c r="R57" s="173"/>
      <c r="S57" s="200">
        <f t="shared" si="8"/>
        <v>19.29</v>
      </c>
      <c r="T57" s="200">
        <f t="shared" si="9"/>
        <v>38.58</v>
      </c>
      <c r="U57" s="200">
        <f t="shared" si="10"/>
        <v>128.6</v>
      </c>
      <c r="V57" s="200">
        <f t="shared" si="11"/>
        <v>321.5</v>
      </c>
      <c r="W57" s="173"/>
      <c r="X57" s="473"/>
      <c r="Y57" s="474"/>
      <c r="Z57" s="474"/>
      <c r="AA57" s="474"/>
      <c r="AB57" s="474"/>
      <c r="AC57" s="474"/>
      <c r="AD57" s="474"/>
      <c r="AE57" s="475"/>
      <c r="AF57" s="173"/>
      <c r="AG57" s="173"/>
      <c r="AH57" s="173"/>
      <c r="AI57" s="173"/>
      <c r="AJ57" s="173"/>
      <c r="AK57" s="173"/>
      <c r="AL57" s="173"/>
    </row>
    <row r="58" spans="1:38" ht="12.75" customHeight="1">
      <c r="A58" s="345" t="s">
        <v>286</v>
      </c>
      <c r="B58" s="287">
        <v>10</v>
      </c>
      <c r="C58" s="287"/>
      <c r="D58" s="287"/>
      <c r="E58" s="287">
        <v>15</v>
      </c>
      <c r="F58" s="287">
        <v>1</v>
      </c>
      <c r="G58" s="287">
        <v>12</v>
      </c>
      <c r="H58" s="200">
        <f>SUM(B58+C58*B2+D58*B3+E58*B4+F58*B7)</f>
        <v>86.80000000000001</v>
      </c>
      <c r="I58" s="486"/>
      <c r="J58" s="486"/>
      <c r="K58" s="199">
        <f>IF(G58-I54-(J54*9)&lt;=0,0,(G58-I54-(J54*9)))</f>
        <v>12</v>
      </c>
      <c r="L58" s="173"/>
      <c r="M58" s="173"/>
      <c r="N58" s="173"/>
      <c r="O58" s="200">
        <f>SUM(H58+K58*O11)+(I58*B11)</f>
        <v>117.55000000000001</v>
      </c>
      <c r="P58" s="200">
        <f>SUM(H58+K58*P11)+(I58*B11)</f>
        <v>107.80000000000001</v>
      </c>
      <c r="Q58" s="200">
        <f>SUM(H58+K58*Q11)+(I58*B11)</f>
        <v>92.80000000000001</v>
      </c>
      <c r="R58" s="173"/>
      <c r="S58" s="200">
        <f t="shared" si="8"/>
        <v>35.265</v>
      </c>
      <c r="T58" s="200">
        <f t="shared" si="9"/>
        <v>70.53</v>
      </c>
      <c r="U58" s="200">
        <f t="shared" si="10"/>
        <v>235.10000000000002</v>
      </c>
      <c r="V58" s="200">
        <f t="shared" si="11"/>
        <v>587.75</v>
      </c>
      <c r="W58" s="173"/>
      <c r="X58" s="473"/>
      <c r="Y58" s="474"/>
      <c r="Z58" s="474"/>
      <c r="AA58" s="474"/>
      <c r="AB58" s="474"/>
      <c r="AC58" s="474"/>
      <c r="AD58" s="474"/>
      <c r="AE58" s="475"/>
      <c r="AF58" s="173"/>
      <c r="AG58" s="173"/>
      <c r="AH58" s="173"/>
      <c r="AI58" s="173"/>
      <c r="AJ58" s="173"/>
      <c r="AK58" s="173"/>
      <c r="AL58" s="173"/>
    </row>
    <row r="59" spans="1:38" ht="12.75" customHeight="1">
      <c r="A59" s="345" t="s">
        <v>287</v>
      </c>
      <c r="B59" s="287">
        <v>5</v>
      </c>
      <c r="C59" s="287">
        <v>5</v>
      </c>
      <c r="D59" s="287"/>
      <c r="E59" s="287">
        <v>10</v>
      </c>
      <c r="F59" s="287">
        <v>1</v>
      </c>
      <c r="G59" s="287">
        <v>10</v>
      </c>
      <c r="H59" s="200">
        <f>SUM(B59+C59*B2+D59*B3+E59*B4+F59*B7)</f>
        <v>75</v>
      </c>
      <c r="I59" s="486"/>
      <c r="J59" s="486"/>
      <c r="K59" s="199">
        <f>IF(G59-I54-(J54*9)&lt;=0,0,(G59-I54-(J54*9)))</f>
        <v>10</v>
      </c>
      <c r="L59" s="173"/>
      <c r="M59" s="173"/>
      <c r="N59" s="173"/>
      <c r="O59" s="200">
        <f>SUM(H59+K59*O11)+(I59*B11)</f>
        <v>100.625</v>
      </c>
      <c r="P59" s="200">
        <f>SUM(H59+K59*P11)+(I59*B11)</f>
        <v>92.5</v>
      </c>
      <c r="Q59" s="200">
        <f>SUM(H59+K59*Q11)+(I59*B11)</f>
        <v>80</v>
      </c>
      <c r="R59" s="173"/>
      <c r="S59" s="200">
        <f t="shared" si="8"/>
        <v>30.1875</v>
      </c>
      <c r="T59" s="200">
        <f t="shared" si="9"/>
        <v>60.375</v>
      </c>
      <c r="U59" s="200">
        <f t="shared" si="10"/>
        <v>201.25</v>
      </c>
      <c r="V59" s="200">
        <f t="shared" si="11"/>
        <v>503.125</v>
      </c>
      <c r="W59" s="173"/>
      <c r="X59" s="473"/>
      <c r="Y59" s="474"/>
      <c r="Z59" s="474"/>
      <c r="AA59" s="474"/>
      <c r="AB59" s="474"/>
      <c r="AC59" s="474"/>
      <c r="AD59" s="474"/>
      <c r="AE59" s="475"/>
      <c r="AF59" s="173"/>
      <c r="AG59" s="173"/>
      <c r="AH59" s="173"/>
      <c r="AI59" s="173"/>
      <c r="AJ59" s="173"/>
      <c r="AK59" s="173"/>
      <c r="AL59" s="173"/>
    </row>
    <row r="60" spans="1:38" ht="12.75" customHeight="1">
      <c r="A60" s="345" t="s">
        <v>288</v>
      </c>
      <c r="B60" s="287">
        <v>10</v>
      </c>
      <c r="C60" s="287">
        <v>5</v>
      </c>
      <c r="D60" s="287"/>
      <c r="E60" s="287">
        <v>5</v>
      </c>
      <c r="F60" s="287">
        <v>1</v>
      </c>
      <c r="G60" s="287">
        <v>20</v>
      </c>
      <c r="H60" s="200">
        <f>SUM(B60+C60*B2+D60*B3+E60*B4+F60*B7)</f>
        <v>64.4</v>
      </c>
      <c r="I60" s="486"/>
      <c r="J60" s="486"/>
      <c r="K60" s="199">
        <f>IF(G60-I54-(J54*9)&lt;=0,0,(G60-I54-(J54*9)))</f>
        <v>20</v>
      </c>
      <c r="L60" s="173"/>
      <c r="M60" s="173"/>
      <c r="N60" s="173"/>
      <c r="O60" s="200">
        <f>SUM(H60+K60*O11)+(I60*B11)</f>
        <v>115.65</v>
      </c>
      <c r="P60" s="200">
        <f>SUM(H60+K60*P11)+(I60*B11)</f>
        <v>99.4</v>
      </c>
      <c r="Q60" s="200">
        <f>SUM(H60+K60*Q11)+(I60*B11)</f>
        <v>74.4</v>
      </c>
      <c r="R60" s="173"/>
      <c r="S60" s="200">
        <f t="shared" si="8"/>
        <v>34.695</v>
      </c>
      <c r="T60" s="200">
        <f t="shared" si="9"/>
        <v>69.39</v>
      </c>
      <c r="U60" s="200">
        <f t="shared" si="10"/>
        <v>231.3</v>
      </c>
      <c r="V60" s="200">
        <f t="shared" si="11"/>
        <v>578.25</v>
      </c>
      <c r="W60" s="173"/>
      <c r="X60" s="473"/>
      <c r="Y60" s="474"/>
      <c r="Z60" s="474"/>
      <c r="AA60" s="474"/>
      <c r="AB60" s="474"/>
      <c r="AC60" s="474"/>
      <c r="AD60" s="474"/>
      <c r="AE60" s="475"/>
      <c r="AF60" s="173"/>
      <c r="AG60" s="173"/>
      <c r="AH60" s="173"/>
      <c r="AI60" s="173"/>
      <c r="AJ60" s="173"/>
      <c r="AK60" s="173"/>
      <c r="AL60" s="173"/>
    </row>
    <row r="61" spans="1:38" ht="12.75" customHeight="1">
      <c r="A61" s="345" t="s">
        <v>289</v>
      </c>
      <c r="B61" s="287">
        <v>5</v>
      </c>
      <c r="C61" s="287">
        <v>10</v>
      </c>
      <c r="D61" s="287"/>
      <c r="E61" s="287">
        <v>5</v>
      </c>
      <c r="F61" s="287">
        <v>1</v>
      </c>
      <c r="G61" s="287">
        <v>20</v>
      </c>
      <c r="H61" s="200">
        <f>SUM(B61+C61*B2+D61*B3+E61*B4+F61*B7)</f>
        <v>68.2</v>
      </c>
      <c r="I61" s="486"/>
      <c r="J61" s="486"/>
      <c r="K61" s="199">
        <f>IF(G61-I54-(J54*9)&lt;=0,0,(G61-I54-(J54*9)))</f>
        <v>20</v>
      </c>
      <c r="L61" s="173"/>
      <c r="M61" s="173"/>
      <c r="N61" s="173"/>
      <c r="O61" s="200">
        <f>SUM(H61+K61*O11)+(I61*B11)</f>
        <v>119.45</v>
      </c>
      <c r="P61" s="200">
        <f>SUM(H61+K61*P11)+(I61*B11)</f>
        <v>103.2</v>
      </c>
      <c r="Q61" s="200">
        <f>SUM(H61+K61*Q11)+(I61*B11)</f>
        <v>78.2</v>
      </c>
      <c r="R61" s="173"/>
      <c r="S61" s="200">
        <f t="shared" si="8"/>
        <v>35.835</v>
      </c>
      <c r="T61" s="200">
        <f t="shared" si="9"/>
        <v>71.67</v>
      </c>
      <c r="U61" s="200">
        <f t="shared" si="10"/>
        <v>238.9</v>
      </c>
      <c r="V61" s="200">
        <f t="shared" si="11"/>
        <v>597.25</v>
      </c>
      <c r="W61" s="173"/>
      <c r="X61" s="473"/>
      <c r="Y61" s="474"/>
      <c r="Z61" s="474"/>
      <c r="AA61" s="474"/>
      <c r="AB61" s="474"/>
      <c r="AC61" s="474"/>
      <c r="AD61" s="474"/>
      <c r="AE61" s="475"/>
      <c r="AF61" s="173"/>
      <c r="AG61" s="173"/>
      <c r="AH61" s="173"/>
      <c r="AI61" s="173"/>
      <c r="AJ61" s="173"/>
      <c r="AK61" s="173"/>
      <c r="AL61" s="173"/>
    </row>
    <row r="62" spans="1:38" ht="12.75" customHeight="1">
      <c r="A62" s="345" t="s">
        <v>290</v>
      </c>
      <c r="B62" s="287">
        <v>20</v>
      </c>
      <c r="C62" s="287">
        <v>5</v>
      </c>
      <c r="D62" s="287"/>
      <c r="E62" s="287">
        <v>5</v>
      </c>
      <c r="F62" s="287">
        <v>1</v>
      </c>
      <c r="G62" s="287">
        <v>15</v>
      </c>
      <c r="H62" s="200">
        <f>SUM(B62+C62*B2+D62*B3+E62*B4+F62*B7)</f>
        <v>74.4</v>
      </c>
      <c r="I62" s="486"/>
      <c r="J62" s="486"/>
      <c r="K62" s="199">
        <f>IF(G62-I54-(J54*9)&lt;=0,0,(G62-I54-(J54*9)))</f>
        <v>15</v>
      </c>
      <c r="L62" s="173"/>
      <c r="M62" s="173"/>
      <c r="N62" s="173"/>
      <c r="O62" s="200">
        <f>SUM(H62+K62*O11)+(I62*B11)</f>
        <v>112.8375</v>
      </c>
      <c r="P62" s="200">
        <f>SUM(H62+K62*P11)+(I62*B11)</f>
        <v>100.65</v>
      </c>
      <c r="Q62" s="200">
        <f>SUM(H62+K62*Q11)+(I62*B11)</f>
        <v>81.9</v>
      </c>
      <c r="R62" s="173"/>
      <c r="S62" s="200">
        <f t="shared" si="8"/>
        <v>33.85125</v>
      </c>
      <c r="T62" s="200">
        <f t="shared" si="9"/>
        <v>67.7025</v>
      </c>
      <c r="U62" s="200">
        <f t="shared" si="10"/>
        <v>225.675</v>
      </c>
      <c r="V62" s="200">
        <f t="shared" si="11"/>
        <v>564.1875</v>
      </c>
      <c r="W62" s="173"/>
      <c r="X62" s="473"/>
      <c r="Y62" s="474"/>
      <c r="Z62" s="474"/>
      <c r="AA62" s="474"/>
      <c r="AB62" s="474"/>
      <c r="AC62" s="474"/>
      <c r="AD62" s="474"/>
      <c r="AE62" s="475"/>
      <c r="AF62" s="173"/>
      <c r="AG62" s="173"/>
      <c r="AH62" s="173"/>
      <c r="AI62" s="173"/>
      <c r="AJ62" s="173"/>
      <c r="AK62" s="173"/>
      <c r="AL62" s="173"/>
    </row>
    <row r="63" spans="1:38" ht="12.75" customHeight="1">
      <c r="A63" s="345" t="s">
        <v>291</v>
      </c>
      <c r="B63" s="287">
        <v>5</v>
      </c>
      <c r="C63" s="287">
        <v>10</v>
      </c>
      <c r="D63" s="287"/>
      <c r="E63" s="287">
        <v>10</v>
      </c>
      <c r="F63" s="287">
        <v>1</v>
      </c>
      <c r="G63" s="287">
        <v>6</v>
      </c>
      <c r="H63" s="200">
        <f>SUM(B63+C63*B2+D63*B3+E63*B4+F63*B7)</f>
        <v>83.80000000000001</v>
      </c>
      <c r="I63" s="486"/>
      <c r="J63" s="486"/>
      <c r="K63" s="199">
        <f>IF(G63-I54-(J54*9)&lt;=0,0,(G63-I54-(J54*9)))</f>
        <v>6</v>
      </c>
      <c r="L63" s="173"/>
      <c r="M63" s="173"/>
      <c r="N63" s="173"/>
      <c r="O63" s="200">
        <f>SUM(H63+K63*O11)+(I63*B11)</f>
        <v>99.17500000000001</v>
      </c>
      <c r="P63" s="200">
        <f>SUM(H63+K63*P11)+(I63*B11)</f>
        <v>94.30000000000001</v>
      </c>
      <c r="Q63" s="200">
        <f>SUM(H63+K63*Q11)+(I63*B11)</f>
        <v>86.80000000000001</v>
      </c>
      <c r="R63" s="173"/>
      <c r="S63" s="200">
        <f t="shared" si="8"/>
        <v>29.7525</v>
      </c>
      <c r="T63" s="200">
        <f t="shared" si="9"/>
        <v>59.505</v>
      </c>
      <c r="U63" s="200">
        <f t="shared" si="10"/>
        <v>198.35000000000002</v>
      </c>
      <c r="V63" s="200">
        <f t="shared" si="11"/>
        <v>495.87500000000006</v>
      </c>
      <c r="W63" s="173"/>
      <c r="X63" s="473"/>
      <c r="Y63" s="474"/>
      <c r="Z63" s="474"/>
      <c r="AA63" s="474"/>
      <c r="AB63" s="474"/>
      <c r="AC63" s="474"/>
      <c r="AD63" s="474"/>
      <c r="AE63" s="475"/>
      <c r="AF63" s="173"/>
      <c r="AG63" s="173"/>
      <c r="AH63" s="173"/>
      <c r="AI63" s="173"/>
      <c r="AJ63" s="173"/>
      <c r="AK63" s="173"/>
      <c r="AL63" s="173"/>
    </row>
    <row r="64" spans="1:38" ht="12.75" customHeight="1">
      <c r="A64" s="345" t="s">
        <v>292</v>
      </c>
      <c r="B64" s="287">
        <v>10</v>
      </c>
      <c r="C64" s="287"/>
      <c r="D64" s="287"/>
      <c r="E64" s="287">
        <v>5</v>
      </c>
      <c r="F64" s="287">
        <v>1</v>
      </c>
      <c r="G64" s="287">
        <v>10</v>
      </c>
      <c r="H64" s="200">
        <f>SUM(B64+C64*B2+D64*B3+E64*B4+F64*B7)</f>
        <v>55.6</v>
      </c>
      <c r="I64" s="486"/>
      <c r="J64" s="486"/>
      <c r="K64" s="199">
        <f>IF(G64-I54-(J54*9)&lt;=0,0,(G64-I54-(J54*9)))</f>
        <v>10</v>
      </c>
      <c r="L64" s="173"/>
      <c r="M64" s="173"/>
      <c r="N64" s="173"/>
      <c r="O64" s="200">
        <f>SUM(H64+K64*O11)+(I64*B11)</f>
        <v>81.225</v>
      </c>
      <c r="P64" s="200">
        <f>SUM(H64+K64*P11)+(I64*B11)</f>
        <v>73.1</v>
      </c>
      <c r="Q64" s="200">
        <f>SUM(H64+K64*Q11)+(I64*B11)</f>
        <v>60.6</v>
      </c>
      <c r="R64" s="173"/>
      <c r="S64" s="200">
        <f t="shared" si="8"/>
        <v>24.367499999999996</v>
      </c>
      <c r="T64" s="200">
        <f t="shared" si="9"/>
        <v>48.73499999999999</v>
      </c>
      <c r="U64" s="200">
        <f t="shared" si="10"/>
        <v>162.45</v>
      </c>
      <c r="V64" s="200">
        <f t="shared" si="11"/>
        <v>406.125</v>
      </c>
      <c r="W64" s="173"/>
      <c r="X64" s="473"/>
      <c r="Y64" s="474"/>
      <c r="Z64" s="474"/>
      <c r="AA64" s="474"/>
      <c r="AB64" s="474"/>
      <c r="AC64" s="474"/>
      <c r="AD64" s="474"/>
      <c r="AE64" s="475"/>
      <c r="AF64" s="173"/>
      <c r="AG64" s="173"/>
      <c r="AH64" s="173"/>
      <c r="AI64" s="173"/>
      <c r="AJ64" s="173"/>
      <c r="AK64" s="173"/>
      <c r="AL64" s="173"/>
    </row>
    <row r="65" spans="1:38" ht="12.75" customHeight="1">
      <c r="A65" s="345" t="s">
        <v>293</v>
      </c>
      <c r="B65" s="287">
        <v>5</v>
      </c>
      <c r="C65" s="287">
        <v>5</v>
      </c>
      <c r="D65" s="287"/>
      <c r="E65" s="287">
        <v>10</v>
      </c>
      <c r="F65" s="287">
        <v>1</v>
      </c>
      <c r="G65" s="287">
        <v>15</v>
      </c>
      <c r="H65" s="200">
        <f>SUM(B65+C65*B2+D65*B3+E65*B4+F65*B7)</f>
        <v>75</v>
      </c>
      <c r="I65" s="486"/>
      <c r="J65" s="486"/>
      <c r="K65" s="199">
        <f>IF(G65-I54-(J54*9)&lt;=0,0,(G65-I54-(J54*9)))</f>
        <v>15</v>
      </c>
      <c r="L65" s="173"/>
      <c r="M65" s="173"/>
      <c r="N65" s="173"/>
      <c r="O65" s="200">
        <f>SUM(H65+K65*O11)+(I65*B11)</f>
        <v>113.4375</v>
      </c>
      <c r="P65" s="200">
        <f>SUM(H65+K65*P11)+(I65*B11)</f>
        <v>101.25</v>
      </c>
      <c r="Q65" s="200">
        <f>SUM(H65+K65*Q11)+(I65*B11)</f>
        <v>82.5</v>
      </c>
      <c r="R65" s="173"/>
      <c r="S65" s="200">
        <f t="shared" si="8"/>
        <v>34.03125</v>
      </c>
      <c r="T65" s="200">
        <f t="shared" si="9"/>
        <v>68.0625</v>
      </c>
      <c r="U65" s="200">
        <f t="shared" si="10"/>
        <v>226.875</v>
      </c>
      <c r="V65" s="200">
        <f t="shared" si="11"/>
        <v>567.1875</v>
      </c>
      <c r="W65" s="173"/>
      <c r="X65" s="473"/>
      <c r="Y65" s="474"/>
      <c r="Z65" s="474"/>
      <c r="AA65" s="474"/>
      <c r="AB65" s="474"/>
      <c r="AC65" s="474"/>
      <c r="AD65" s="474"/>
      <c r="AE65" s="475"/>
      <c r="AF65" s="173"/>
      <c r="AG65" s="173"/>
      <c r="AH65" s="173"/>
      <c r="AI65" s="173"/>
      <c r="AJ65" s="173"/>
      <c r="AK65" s="173"/>
      <c r="AL65" s="173"/>
    </row>
    <row r="66" spans="1:38" ht="12.75" customHeight="1">
      <c r="A66" s="345" t="s">
        <v>294</v>
      </c>
      <c r="B66" s="287">
        <v>5</v>
      </c>
      <c r="C66" s="287"/>
      <c r="D66" s="287"/>
      <c r="E66" s="287">
        <v>5</v>
      </c>
      <c r="F66" s="287">
        <v>1</v>
      </c>
      <c r="G66" s="287">
        <v>10</v>
      </c>
      <c r="H66" s="200">
        <f>SUM(B66+C66*B2+D66*B3+E66*B4+F66*B7)</f>
        <v>50.6</v>
      </c>
      <c r="I66" s="486"/>
      <c r="J66" s="486"/>
      <c r="K66" s="199">
        <f>IF(G66-I54-(J54*9)&lt;=0,0,(G66-I54-(J54*9)))</f>
        <v>10</v>
      </c>
      <c r="L66" s="173"/>
      <c r="M66" s="173"/>
      <c r="N66" s="173"/>
      <c r="O66" s="200">
        <f>SUM(H66+K66*O11)+(I66*B11)</f>
        <v>76.225</v>
      </c>
      <c r="P66" s="200">
        <f>SUM(H66+K66*P11)+(I66*B11)</f>
        <v>68.1</v>
      </c>
      <c r="Q66" s="200">
        <f>SUM(H66+K66*Q11)+(I66*B11)</f>
        <v>55.6</v>
      </c>
      <c r="R66" s="173"/>
      <c r="S66" s="200">
        <f t="shared" si="8"/>
        <v>22.867499999999996</v>
      </c>
      <c r="T66" s="200">
        <f t="shared" si="9"/>
        <v>45.73499999999999</v>
      </c>
      <c r="U66" s="200">
        <f t="shared" si="10"/>
        <v>152.45</v>
      </c>
      <c r="V66" s="200">
        <f t="shared" si="11"/>
        <v>381.125</v>
      </c>
      <c r="W66" s="173"/>
      <c r="X66" s="473"/>
      <c r="Y66" s="474"/>
      <c r="Z66" s="474"/>
      <c r="AA66" s="474"/>
      <c r="AB66" s="474"/>
      <c r="AC66" s="474"/>
      <c r="AD66" s="474"/>
      <c r="AE66" s="475"/>
      <c r="AF66" s="173"/>
      <c r="AG66" s="173"/>
      <c r="AH66" s="173"/>
      <c r="AI66" s="173"/>
      <c r="AJ66" s="173"/>
      <c r="AK66" s="173"/>
      <c r="AL66" s="173"/>
    </row>
    <row r="67" spans="1:38" ht="12.75" customHeight="1" thickBot="1">
      <c r="A67" s="345" t="s">
        <v>295</v>
      </c>
      <c r="B67" s="287">
        <v>5</v>
      </c>
      <c r="C67" s="287">
        <v>5</v>
      </c>
      <c r="D67" s="287"/>
      <c r="E67" s="287">
        <v>5</v>
      </c>
      <c r="F67" s="287">
        <v>1</v>
      </c>
      <c r="G67" s="287">
        <v>15</v>
      </c>
      <c r="H67" s="200">
        <f>SUM(B67+C67*B2+D67*B3+E67*B4+F67*B7)</f>
        <v>59.400000000000006</v>
      </c>
      <c r="I67" s="487"/>
      <c r="J67" s="487"/>
      <c r="K67" s="199">
        <f>IF(G67-I55-(J55*9)&lt;=0,0,(G67-I55-(J55*9)))</f>
        <v>15</v>
      </c>
      <c r="L67" s="173"/>
      <c r="M67" s="173"/>
      <c r="N67" s="173"/>
      <c r="O67" s="200">
        <f>SUM(H67+K67*O11)+(I67*B11)</f>
        <v>97.8375</v>
      </c>
      <c r="P67" s="200">
        <f>SUM(H67+K67*P11)+(I67*B11)</f>
        <v>85.65</v>
      </c>
      <c r="Q67" s="200">
        <f>SUM(H67+K67*Q11)+(I67*B11)</f>
        <v>66.9</v>
      </c>
      <c r="R67" s="173"/>
      <c r="S67" s="200">
        <f t="shared" si="8"/>
        <v>29.35125</v>
      </c>
      <c r="T67" s="200">
        <f t="shared" si="9"/>
        <v>58.7025</v>
      </c>
      <c r="U67" s="200">
        <f t="shared" si="10"/>
        <v>195.675</v>
      </c>
      <c r="V67" s="200">
        <f t="shared" si="11"/>
        <v>489.1875</v>
      </c>
      <c r="W67" s="173"/>
      <c r="X67" s="476"/>
      <c r="Y67" s="477"/>
      <c r="Z67" s="477"/>
      <c r="AA67" s="477"/>
      <c r="AB67" s="477"/>
      <c r="AC67" s="477"/>
      <c r="AD67" s="477"/>
      <c r="AE67" s="478"/>
      <c r="AF67" s="173"/>
      <c r="AG67" s="173"/>
      <c r="AH67" s="173"/>
      <c r="AI67" s="173"/>
      <c r="AJ67" s="173"/>
      <c r="AK67" s="173"/>
      <c r="AL67" s="173"/>
    </row>
    <row r="68" spans="1:38" ht="12.75" customHeight="1">
      <c r="A68" s="173"/>
      <c r="B68" s="173"/>
      <c r="C68" s="173"/>
      <c r="D68" s="173"/>
      <c r="E68" s="173"/>
      <c r="F68" s="173"/>
      <c r="G68" s="173"/>
      <c r="H68" s="173"/>
      <c r="I68" s="350"/>
      <c r="J68" s="350"/>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row>
    <row r="69" ht="12.75">
      <c r="A69" s="306"/>
    </row>
    <row r="70" ht="12.75">
      <c r="A70" s="306"/>
    </row>
    <row r="71" ht="31.5" customHeight="1">
      <c r="A71" s="306"/>
    </row>
    <row r="72" ht="12.75">
      <c r="A72" s="306"/>
    </row>
    <row r="73" ht="12.75">
      <c r="A73" s="306"/>
    </row>
    <row r="74" ht="12.75">
      <c r="A74" s="306"/>
    </row>
    <row r="75" ht="12.75">
      <c r="A75" s="306"/>
    </row>
    <row r="76" ht="12.75">
      <c r="A76" s="306"/>
    </row>
    <row r="77" ht="12.75">
      <c r="A77" s="306"/>
    </row>
    <row r="78" ht="12.75">
      <c r="A78" s="306"/>
    </row>
    <row r="79" ht="12.75">
      <c r="A79" s="306"/>
    </row>
    <row r="80" ht="12.75">
      <c r="A80" s="306"/>
    </row>
    <row r="81" ht="12.75">
      <c r="A81" s="306"/>
    </row>
    <row r="82" ht="12.75">
      <c r="A82" s="306"/>
    </row>
    <row r="83" ht="12.75">
      <c r="A83" s="306"/>
    </row>
    <row r="84" ht="12.75">
      <c r="A84" s="306"/>
    </row>
    <row r="85" ht="12.75">
      <c r="A85" s="306"/>
    </row>
    <row r="86" ht="12.75">
      <c r="A86" s="306"/>
    </row>
    <row r="87" ht="12.75">
      <c r="A87" s="306"/>
    </row>
    <row r="88" ht="12.75">
      <c r="A88" s="306"/>
    </row>
    <row r="89" ht="12.75">
      <c r="A89" s="306"/>
    </row>
    <row r="90" ht="12.75">
      <c r="A90" s="306"/>
    </row>
    <row r="91" ht="12.75">
      <c r="A91" s="306"/>
    </row>
    <row r="92" ht="12.75">
      <c r="A92" s="306"/>
    </row>
    <row r="93" ht="12.75">
      <c r="A93" s="306"/>
    </row>
    <row r="94" ht="12.75">
      <c r="A94" s="306"/>
    </row>
    <row r="95" ht="12.75">
      <c r="A95" s="306"/>
    </row>
    <row r="96" ht="12.75">
      <c r="A96" s="306"/>
    </row>
    <row r="97" ht="12.75">
      <c r="A97" s="306"/>
    </row>
    <row r="98" ht="12.75">
      <c r="A98" s="306"/>
    </row>
    <row r="99" ht="12.75">
      <c r="A99" s="306"/>
    </row>
    <row r="100" ht="12.75">
      <c r="A100" s="306"/>
    </row>
    <row r="101" ht="12.75">
      <c r="A101" s="306"/>
    </row>
    <row r="102" ht="12.75">
      <c r="A102" s="306"/>
    </row>
    <row r="103" ht="12.75">
      <c r="A103" s="306"/>
    </row>
    <row r="104" ht="12.75">
      <c r="A104" s="306"/>
    </row>
    <row r="105" ht="12.75">
      <c r="A105" s="306"/>
    </row>
    <row r="106" ht="12.75">
      <c r="A106" s="306"/>
    </row>
    <row r="107" ht="12.75">
      <c r="A107" s="306"/>
    </row>
    <row r="108" ht="12.75">
      <c r="A108" s="306"/>
    </row>
    <row r="109" ht="12.75">
      <c r="A109" s="306"/>
    </row>
    <row r="110" ht="12.75">
      <c r="A110" s="306"/>
    </row>
    <row r="111" ht="12.75">
      <c r="A111" s="306"/>
    </row>
    <row r="112" ht="12.75">
      <c r="A112" s="306"/>
    </row>
    <row r="113" ht="12.75">
      <c r="A113" s="306"/>
    </row>
    <row r="114" ht="12.75">
      <c r="A114" s="306"/>
    </row>
    <row r="115" ht="12.75">
      <c r="A115" s="306"/>
    </row>
    <row r="116" ht="12.75">
      <c r="A116" s="306"/>
    </row>
    <row r="117" ht="12.75">
      <c r="A117" s="306"/>
    </row>
    <row r="118" ht="12.75">
      <c r="A118" s="306"/>
    </row>
    <row r="119" ht="12.75">
      <c r="A119" s="306"/>
    </row>
    <row r="120" ht="12.75">
      <c r="A120" s="306"/>
    </row>
    <row r="121" ht="12.75">
      <c r="A121" s="306"/>
    </row>
    <row r="122" ht="12.75">
      <c r="A122" s="306"/>
    </row>
    <row r="123" ht="12.75">
      <c r="A123" s="306"/>
    </row>
    <row r="124" ht="12.75">
      <c r="A124" s="306"/>
    </row>
    <row r="125" ht="12.75">
      <c r="A125" s="306"/>
    </row>
    <row r="126" ht="12.75">
      <c r="A126" s="306"/>
    </row>
    <row r="127" ht="12.75">
      <c r="A127" s="306"/>
    </row>
    <row r="128" ht="12.75">
      <c r="A128" s="306"/>
    </row>
    <row r="129" ht="12.75">
      <c r="A129" s="306"/>
    </row>
    <row r="130" ht="12.75">
      <c r="A130" s="306"/>
    </row>
    <row r="131" ht="12.75">
      <c r="A131" s="306"/>
    </row>
    <row r="132" ht="12.75">
      <c r="A132" s="306"/>
    </row>
  </sheetData>
  <sheetProtection password="CE28" sheet="1"/>
  <mergeCells count="65">
    <mergeCell ref="J54:J67"/>
    <mergeCell ref="I54:I67"/>
    <mergeCell ref="A52:A53"/>
    <mergeCell ref="G52:G53"/>
    <mergeCell ref="B52:F52"/>
    <mergeCell ref="H52:H53"/>
    <mergeCell ref="O52:Q52"/>
    <mergeCell ref="I35:I36"/>
    <mergeCell ref="J35:J36"/>
    <mergeCell ref="K35:K36"/>
    <mergeCell ref="I52:I53"/>
    <mergeCell ref="J52:J53"/>
    <mergeCell ref="K52:K53"/>
    <mergeCell ref="AG16:AK21"/>
    <mergeCell ref="AG22:AK29"/>
    <mergeCell ref="AG31:AK35"/>
    <mergeCell ref="O32:Q33"/>
    <mergeCell ref="X32:AE33"/>
    <mergeCell ref="O35:Q35"/>
    <mergeCell ref="J14:J31"/>
    <mergeCell ref="K14:K31"/>
    <mergeCell ref="M12:M13"/>
    <mergeCell ref="K12:K13"/>
    <mergeCell ref="L12:L13"/>
    <mergeCell ref="S9:S13"/>
    <mergeCell ref="J12:J13"/>
    <mergeCell ref="S7:T8"/>
    <mergeCell ref="U7:V8"/>
    <mergeCell ref="X7:AE8"/>
    <mergeCell ref="AA12:AA13"/>
    <mergeCell ref="X9:X13"/>
    <mergeCell ref="Y9:Y13"/>
    <mergeCell ref="Z9:Z13"/>
    <mergeCell ref="T9:T13"/>
    <mergeCell ref="AE12:AE13"/>
    <mergeCell ref="AG2:AK2"/>
    <mergeCell ref="AG3:AK3"/>
    <mergeCell ref="AG4:AK5"/>
    <mergeCell ref="AG6:AK15"/>
    <mergeCell ref="U9:U13"/>
    <mergeCell ref="AA9:AE11"/>
    <mergeCell ref="AD12:AD13"/>
    <mergeCell ref="AB12:AB13"/>
    <mergeCell ref="AC12:AC13"/>
    <mergeCell ref="V9:V13"/>
    <mergeCell ref="A1:C1"/>
    <mergeCell ref="A12:A13"/>
    <mergeCell ref="B12:F12"/>
    <mergeCell ref="G12:G13"/>
    <mergeCell ref="O4:Q5"/>
    <mergeCell ref="O8:Q8"/>
    <mergeCell ref="H12:H13"/>
    <mergeCell ref="I12:I13"/>
    <mergeCell ref="O13:Q13"/>
    <mergeCell ref="K1:T1"/>
    <mergeCell ref="S52:V52"/>
    <mergeCell ref="X53:AE67"/>
    <mergeCell ref="AG38:AK42"/>
    <mergeCell ref="A32:M33"/>
    <mergeCell ref="I37:I50"/>
    <mergeCell ref="J37:J50"/>
    <mergeCell ref="A35:A36"/>
    <mergeCell ref="B35:F35"/>
    <mergeCell ref="G35:G36"/>
    <mergeCell ref="H35:H36"/>
  </mergeCells>
  <hyperlinks>
    <hyperlink ref="AG3:AK3" r:id="rId1" display="http://tim-twiser.clan.su"/>
  </hyperlinks>
  <printOptions/>
  <pageMargins left="0.75" right="0.75" top="1" bottom="1" header="0.5" footer="0.5"/>
  <pageSetup horizontalDpi="300" verticalDpi="300" orientation="portrait" paperSize="9" r:id="rId4"/>
  <legacyDrawing r:id="rId3"/>
</worksheet>
</file>

<file path=xl/worksheets/sheet3.xml><?xml version="1.0" encoding="utf-8"?>
<worksheet xmlns="http://schemas.openxmlformats.org/spreadsheetml/2006/main" xmlns:r="http://schemas.openxmlformats.org/officeDocument/2006/relationships">
  <dimension ref="A1:Q55"/>
  <sheetViews>
    <sheetView zoomScalePageLayoutView="0" workbookViewId="0" topLeftCell="A7">
      <selection activeCell="D19" sqref="D19"/>
    </sheetView>
  </sheetViews>
  <sheetFormatPr defaultColWidth="9.140625" defaultRowHeight="12.75"/>
  <cols>
    <col min="1" max="1" width="17.8515625" style="205" customWidth="1"/>
    <col min="2" max="2" width="12.8515625" style="205" customWidth="1"/>
    <col min="3" max="3" width="7.8515625" style="205" customWidth="1"/>
    <col min="4" max="4" width="15.28125" style="205" customWidth="1"/>
    <col min="5" max="5" width="14.140625" style="205" customWidth="1"/>
    <col min="6" max="6" width="13.00390625" style="205" customWidth="1"/>
    <col min="7" max="7" width="14.140625" style="205" customWidth="1"/>
    <col min="8" max="8" width="14.57421875" style="205" customWidth="1"/>
    <col min="9" max="9" width="2.7109375" style="205" customWidth="1"/>
    <col min="10" max="10" width="11.8515625" style="205" customWidth="1"/>
    <col min="11" max="11" width="29.7109375" style="205" customWidth="1"/>
    <col min="12" max="12" width="5.421875" style="205" customWidth="1"/>
    <col min="13" max="13" width="8.57421875" style="205" customWidth="1"/>
    <col min="14" max="14" width="4.7109375" style="205" customWidth="1"/>
    <col min="15" max="15" width="11.7109375" style="205" customWidth="1"/>
    <col min="16" max="16" width="6.28125" style="205" customWidth="1"/>
    <col min="17" max="16384" width="9.140625" style="205" customWidth="1"/>
  </cols>
  <sheetData>
    <row r="1" spans="1:17" ht="33" customHeight="1" thickBot="1">
      <c r="A1" s="572" t="s">
        <v>236</v>
      </c>
      <c r="B1" s="573"/>
      <c r="C1" s="573"/>
      <c r="D1" s="573"/>
      <c r="E1" s="573"/>
      <c r="F1" s="573"/>
      <c r="G1" s="573"/>
      <c r="H1" s="574"/>
      <c r="I1" s="204"/>
      <c r="J1" s="582" t="s">
        <v>277</v>
      </c>
      <c r="K1" s="582"/>
      <c r="L1" s="582"/>
      <c r="M1" s="582"/>
      <c r="N1" s="582"/>
      <c r="O1" s="582"/>
      <c r="P1" s="582"/>
      <c r="Q1" s="204"/>
    </row>
    <row r="2" spans="1:17" ht="14.25" customHeight="1">
      <c r="A2" s="206"/>
      <c r="B2" s="207"/>
      <c r="C2" s="207"/>
      <c r="D2" s="207"/>
      <c r="E2" s="207"/>
      <c r="F2" s="207"/>
      <c r="G2" s="207"/>
      <c r="H2" s="208"/>
      <c r="I2" s="204"/>
      <c r="J2" s="209" t="s">
        <v>237</v>
      </c>
      <c r="K2" s="210" t="s">
        <v>238</v>
      </c>
      <c r="L2" s="210">
        <v>15</v>
      </c>
      <c r="M2" s="210" t="s">
        <v>239</v>
      </c>
      <c r="N2" s="210">
        <f>IF(B18=K8,-1,0)</f>
        <v>0</v>
      </c>
      <c r="O2" s="210" t="s">
        <v>240</v>
      </c>
      <c r="P2" s="211">
        <f>IF(F18&lt;&gt;J4,1,7)</f>
        <v>1</v>
      </c>
      <c r="Q2" s="212"/>
    </row>
    <row r="3" spans="1:17" ht="12" customHeight="1">
      <c r="A3" s="564" t="s">
        <v>241</v>
      </c>
      <c r="B3" s="565"/>
      <c r="C3" s="565"/>
      <c r="D3" s="100"/>
      <c r="E3" s="583" t="s">
        <v>242</v>
      </c>
      <c r="F3" s="583"/>
      <c r="G3" s="583"/>
      <c r="H3" s="213"/>
      <c r="I3" s="204"/>
      <c r="J3" s="214" t="s">
        <v>243</v>
      </c>
      <c r="K3" s="215" t="s">
        <v>244</v>
      </c>
      <c r="L3" s="215">
        <v>10</v>
      </c>
      <c r="M3" s="215" t="s">
        <v>31</v>
      </c>
      <c r="N3" s="215">
        <f>IF(E18=J2,-1,0)</f>
        <v>0</v>
      </c>
      <c r="O3" s="215" t="s">
        <v>245</v>
      </c>
      <c r="P3" s="216">
        <f>IF(F18&lt;&gt;J4,IF(F18=J5,4,IF(F18=J6,3,IF(F18=J7,2,1))),7)</f>
        <v>4</v>
      </c>
      <c r="Q3" s="212"/>
    </row>
    <row r="4" spans="1:17" ht="22.5">
      <c r="A4" s="217"/>
      <c r="B4" s="251">
        <v>457</v>
      </c>
      <c r="C4" s="100"/>
      <c r="D4" s="100"/>
      <c r="E4" s="100"/>
      <c r="F4" s="218">
        <f>IF(B4&gt;=120,121.55+(B4-120)*0.06,IF(B4&gt;=100,119.35+(B4-100)*0.11,IF(B4&gt;=80,115.35+(B4-80)*0.2,IF(B4&gt;=55,27.5+(B4-55)*0.33,B4*0.5))))-B6*0.5</f>
        <v>136.76999999999998</v>
      </c>
      <c r="G4" s="100"/>
      <c r="H4" s="213"/>
      <c r="I4" s="204"/>
      <c r="J4" s="214" t="s">
        <v>235</v>
      </c>
      <c r="K4" s="215" t="s">
        <v>246</v>
      </c>
      <c r="L4" s="215">
        <v>7</v>
      </c>
      <c r="M4" s="215" t="s">
        <v>247</v>
      </c>
      <c r="N4" s="215">
        <f>IF(F18=J4,0,IF(F18=J5,-1,IF(F18=J6,-2,IF(F18=J7,-3,-4))))</f>
        <v>-1</v>
      </c>
      <c r="O4" s="215" t="s">
        <v>248</v>
      </c>
      <c r="P4" s="216">
        <f>IF(F18&lt;&gt;J4,IF(F18=J5,7,IF(F18=J6,6,IF(F18=J7,5,4))),7)</f>
        <v>7</v>
      </c>
      <c r="Q4" s="212"/>
    </row>
    <row r="5" spans="1:17" ht="11.25" customHeight="1">
      <c r="A5" s="564" t="s">
        <v>249</v>
      </c>
      <c r="B5" s="565"/>
      <c r="C5" s="565"/>
      <c r="D5" s="100"/>
      <c r="E5" s="100"/>
      <c r="F5" s="100"/>
      <c r="G5" s="100"/>
      <c r="H5" s="213"/>
      <c r="I5" s="204"/>
      <c r="J5" s="214" t="s">
        <v>250</v>
      </c>
      <c r="K5" s="215" t="s">
        <v>251</v>
      </c>
      <c r="L5" s="215">
        <v>5</v>
      </c>
      <c r="M5" s="215" t="s">
        <v>252</v>
      </c>
      <c r="N5" s="215">
        <f>IF(G18=J4,0,IF(G18=J5,-1,IF(G18=J6,-2,IF(G18=J7,-3,-4))))</f>
        <v>-3</v>
      </c>
      <c r="O5" s="215"/>
      <c r="P5" s="216"/>
      <c r="Q5" s="212"/>
    </row>
    <row r="6" spans="1:17" ht="12.75">
      <c r="A6" s="217"/>
      <c r="B6" s="252">
        <v>10</v>
      </c>
      <c r="C6" s="100"/>
      <c r="D6" s="100"/>
      <c r="E6" s="100"/>
      <c r="F6" s="100"/>
      <c r="G6" s="100"/>
      <c r="H6" s="213"/>
      <c r="I6" s="204"/>
      <c r="J6" s="214" t="s">
        <v>253</v>
      </c>
      <c r="K6" s="215" t="s">
        <v>254</v>
      </c>
      <c r="L6" s="215">
        <v>6</v>
      </c>
      <c r="M6" s="215" t="s">
        <v>255</v>
      </c>
      <c r="N6" s="215">
        <f>IF(H18=J10,-2,0)</f>
        <v>0</v>
      </c>
      <c r="O6" s="215"/>
      <c r="P6" s="216"/>
      <c r="Q6" s="212"/>
    </row>
    <row r="7" spans="1:17" ht="12.75" customHeight="1" thickBot="1">
      <c r="A7" s="219"/>
      <c r="B7" s="107"/>
      <c r="C7" s="107"/>
      <c r="D7" s="107"/>
      <c r="E7" s="107"/>
      <c r="F7" s="107"/>
      <c r="G7" s="107"/>
      <c r="H7" s="220"/>
      <c r="I7" s="204"/>
      <c r="J7" s="214" t="s">
        <v>256</v>
      </c>
      <c r="K7" s="215" t="s">
        <v>257</v>
      </c>
      <c r="L7" s="215">
        <v>4</v>
      </c>
      <c r="M7" s="215"/>
      <c r="N7" s="215"/>
      <c r="O7" s="215"/>
      <c r="P7" s="216"/>
      <c r="Q7" s="212"/>
    </row>
    <row r="8" spans="1:17" ht="13.5" customHeight="1" thickBot="1">
      <c r="A8" s="571" t="s">
        <v>301</v>
      </c>
      <c r="B8" s="571"/>
      <c r="C8" s="571"/>
      <c r="D8" s="571"/>
      <c r="E8" s="571"/>
      <c r="F8" s="571"/>
      <c r="G8" s="571"/>
      <c r="H8" s="571"/>
      <c r="I8" s="204"/>
      <c r="J8" s="214" t="s">
        <v>258</v>
      </c>
      <c r="K8" s="215" t="s">
        <v>259</v>
      </c>
      <c r="L8" s="215">
        <v>7</v>
      </c>
      <c r="M8" s="215"/>
      <c r="N8" s="215"/>
      <c r="O8" s="215"/>
      <c r="P8" s="216"/>
      <c r="Q8" s="212"/>
    </row>
    <row r="9" spans="1:17" ht="21.75" customHeight="1">
      <c r="A9" s="566" t="s">
        <v>260</v>
      </c>
      <c r="B9" s="567"/>
      <c r="C9" s="567"/>
      <c r="D9" s="567"/>
      <c r="E9" s="567"/>
      <c r="F9" s="567"/>
      <c r="G9" s="567"/>
      <c r="H9" s="568"/>
      <c r="I9" s="204"/>
      <c r="J9" s="214" t="s">
        <v>235</v>
      </c>
      <c r="K9" s="215"/>
      <c r="L9" s="215"/>
      <c r="M9" s="215"/>
      <c r="N9" s="215"/>
      <c r="O9" s="215"/>
      <c r="P9" s="216"/>
      <c r="Q9" s="212"/>
    </row>
    <row r="10" spans="1:17" ht="13.5" customHeight="1" thickBot="1">
      <c r="A10" s="221"/>
      <c r="B10" s="222" t="s">
        <v>261</v>
      </c>
      <c r="C10" s="223"/>
      <c r="D10" s="222" t="s">
        <v>262</v>
      </c>
      <c r="E10" s="569" t="s">
        <v>263</v>
      </c>
      <c r="F10" s="569"/>
      <c r="G10" s="569"/>
      <c r="H10" s="570"/>
      <c r="I10" s="204"/>
      <c r="J10" s="225" t="s">
        <v>264</v>
      </c>
      <c r="K10" s="226"/>
      <c r="L10" s="226"/>
      <c r="M10" s="226"/>
      <c r="N10" s="226"/>
      <c r="O10" s="226"/>
      <c r="P10" s="227"/>
      <c r="Q10" s="212"/>
    </row>
    <row r="11" spans="1:17" ht="13.5" customHeight="1" thickBot="1">
      <c r="A11" s="228" t="s">
        <v>265</v>
      </c>
      <c r="B11" s="253">
        <v>100</v>
      </c>
      <c r="C11" s="229" t="s">
        <v>266</v>
      </c>
      <c r="D11" s="253">
        <v>150</v>
      </c>
      <c r="E11" s="223"/>
      <c r="F11" s="230">
        <f>SQRT(ABS(POWER(B11-D11,2))+ABS(POWER(B12-D12,2)))</f>
        <v>70.71067811865476</v>
      </c>
      <c r="G11" s="223"/>
      <c r="H11" s="224"/>
      <c r="I11" s="204"/>
      <c r="J11" s="212"/>
      <c r="K11" s="212"/>
      <c r="L11" s="212"/>
      <c r="M11" s="212"/>
      <c r="N11" s="212"/>
      <c r="O11" s="212"/>
      <c r="P11" s="212"/>
      <c r="Q11" s="212"/>
    </row>
    <row r="12" spans="1:17" ht="15">
      <c r="A12" s="228" t="s">
        <v>267</v>
      </c>
      <c r="B12" s="253">
        <v>300</v>
      </c>
      <c r="C12" s="229" t="s">
        <v>268</v>
      </c>
      <c r="D12" s="253">
        <v>350</v>
      </c>
      <c r="E12" s="223"/>
      <c r="F12" s="223"/>
      <c r="G12" s="223"/>
      <c r="H12" s="224"/>
      <c r="I12" s="204"/>
      <c r="J12" s="446" t="s">
        <v>53</v>
      </c>
      <c r="K12" s="447"/>
      <c r="L12" s="447"/>
      <c r="M12" s="447"/>
      <c r="N12" s="448"/>
      <c r="O12" s="212"/>
      <c r="P12" s="212"/>
      <c r="Q12" s="212"/>
    </row>
    <row r="13" spans="1:17" ht="16.5" thickBot="1">
      <c r="A13" s="231"/>
      <c r="B13" s="232"/>
      <c r="C13" s="232"/>
      <c r="D13" s="232"/>
      <c r="E13" s="232"/>
      <c r="F13" s="232"/>
      <c r="G13" s="232"/>
      <c r="H13" s="233"/>
      <c r="I13" s="204"/>
      <c r="J13" s="449" t="s">
        <v>55</v>
      </c>
      <c r="K13" s="450"/>
      <c r="L13" s="450"/>
      <c r="M13" s="450"/>
      <c r="N13" s="451"/>
      <c r="O13" s="212"/>
      <c r="P13" s="212"/>
      <c r="Q13" s="212"/>
    </row>
    <row r="14" spans="1:17" ht="13.5" thickBot="1">
      <c r="A14" s="571" t="s">
        <v>301</v>
      </c>
      <c r="B14" s="571"/>
      <c r="C14" s="571"/>
      <c r="D14" s="571"/>
      <c r="E14" s="571"/>
      <c r="F14" s="571"/>
      <c r="G14" s="571"/>
      <c r="H14" s="571"/>
      <c r="I14" s="204"/>
      <c r="J14" s="510" t="s">
        <v>302</v>
      </c>
      <c r="K14" s="511"/>
      <c r="L14" s="511"/>
      <c r="M14" s="511"/>
      <c r="N14" s="512"/>
      <c r="O14" s="204"/>
      <c r="P14" s="204"/>
      <c r="Q14" s="204"/>
    </row>
    <row r="15" spans="1:17" ht="25.5" customHeight="1">
      <c r="A15" s="566" t="s">
        <v>269</v>
      </c>
      <c r="B15" s="567"/>
      <c r="C15" s="567"/>
      <c r="D15" s="567"/>
      <c r="E15" s="567"/>
      <c r="F15" s="567"/>
      <c r="G15" s="567"/>
      <c r="H15" s="568"/>
      <c r="I15" s="204"/>
      <c r="J15" s="513"/>
      <c r="K15" s="514"/>
      <c r="L15" s="514"/>
      <c r="M15" s="514"/>
      <c r="N15" s="515"/>
      <c r="O15" s="204"/>
      <c r="P15" s="204"/>
      <c r="Q15" s="204"/>
    </row>
    <row r="16" spans="1:17" ht="15.75" customHeight="1">
      <c r="A16" s="234"/>
      <c r="B16" s="235"/>
      <c r="C16" s="235"/>
      <c r="D16" s="235"/>
      <c r="E16" s="235"/>
      <c r="F16" s="235"/>
      <c r="G16" s="223"/>
      <c r="H16" s="224"/>
      <c r="I16" s="236"/>
      <c r="J16" s="440" t="s">
        <v>57</v>
      </c>
      <c r="K16" s="441"/>
      <c r="L16" s="441"/>
      <c r="M16" s="441"/>
      <c r="N16" s="442"/>
      <c r="O16" s="204"/>
      <c r="P16" s="204"/>
      <c r="Q16" s="204"/>
    </row>
    <row r="17" spans="1:17" ht="12.75" customHeight="1">
      <c r="A17" s="237" t="s">
        <v>270</v>
      </c>
      <c r="B17" s="578" t="s">
        <v>271</v>
      </c>
      <c r="C17" s="578"/>
      <c r="D17" s="578"/>
      <c r="E17" s="238" t="s">
        <v>31</v>
      </c>
      <c r="F17" s="238" t="s">
        <v>247</v>
      </c>
      <c r="G17" s="238" t="s">
        <v>272</v>
      </c>
      <c r="H17" s="239" t="s">
        <v>273</v>
      </c>
      <c r="I17" s="204"/>
      <c r="J17" s="443"/>
      <c r="K17" s="444"/>
      <c r="L17" s="444"/>
      <c r="M17" s="444"/>
      <c r="N17" s="445"/>
      <c r="O17" s="204"/>
      <c r="P17" s="204"/>
      <c r="Q17" s="204"/>
    </row>
    <row r="18" spans="1:17" ht="12.75">
      <c r="A18" s="254">
        <v>40</v>
      </c>
      <c r="B18" s="579" t="s">
        <v>251</v>
      </c>
      <c r="C18" s="579"/>
      <c r="D18" s="579"/>
      <c r="E18" s="255" t="s">
        <v>243</v>
      </c>
      <c r="F18" s="255" t="s">
        <v>250</v>
      </c>
      <c r="G18" s="255" t="s">
        <v>256</v>
      </c>
      <c r="H18" s="256" t="s">
        <v>235</v>
      </c>
      <c r="I18" s="204"/>
      <c r="J18" s="443"/>
      <c r="K18" s="444"/>
      <c r="L18" s="444"/>
      <c r="M18" s="444"/>
      <c r="N18" s="445"/>
      <c r="O18" s="204"/>
      <c r="P18" s="204"/>
      <c r="Q18" s="204"/>
    </row>
    <row r="19" spans="1:17" ht="12.75">
      <c r="A19" s="221"/>
      <c r="B19" s="223"/>
      <c r="C19" s="223"/>
      <c r="D19" s="223"/>
      <c r="E19" s="223"/>
      <c r="F19" s="223"/>
      <c r="G19" s="223"/>
      <c r="H19" s="224"/>
      <c r="I19" s="204"/>
      <c r="J19" s="443"/>
      <c r="K19" s="444"/>
      <c r="L19" s="444"/>
      <c r="M19" s="444"/>
      <c r="N19" s="445"/>
      <c r="O19" s="204"/>
      <c r="P19" s="204"/>
      <c r="Q19" s="204"/>
    </row>
    <row r="20" spans="1:17" ht="17.25" customHeight="1">
      <c r="A20" s="240" t="s">
        <v>274</v>
      </c>
      <c r="B20" s="241">
        <f>IF(B18=K2,A18/L2,IF(B18=K3,A18/L3,IF(B18=K4,A18/L4,IF(B18=K5,A18/L5,IF(B18=K6,A18/L6,IF(B18=K7,A18/L7,A18/L8))))))</f>
        <v>8</v>
      </c>
      <c r="C20" s="580" t="s">
        <v>275</v>
      </c>
      <c r="D20" s="580"/>
      <c r="E20" s="242">
        <f>SUM(N2:N6)</f>
        <v>-4</v>
      </c>
      <c r="F20" s="581" t="s">
        <v>276</v>
      </c>
      <c r="G20" s="581"/>
      <c r="H20" s="243">
        <f>IF(IF(B20&lt;=1,P2,IF(B20&gt;2,P4,P3))+N2+N3+N5+N6&lt;1,1,IF(B20&lt;=1,P2,IF(B20&gt;2,P4,P3))+N2+N3+N5+N6)</f>
        <v>4</v>
      </c>
      <c r="I20" s="204"/>
      <c r="J20" s="443"/>
      <c r="K20" s="444"/>
      <c r="L20" s="444"/>
      <c r="M20" s="444"/>
      <c r="N20" s="445"/>
      <c r="O20" s="204"/>
      <c r="P20" s="204"/>
      <c r="Q20" s="204"/>
    </row>
    <row r="21" spans="1:17" ht="13.5" thickBot="1">
      <c r="A21" s="231"/>
      <c r="B21" s="232"/>
      <c r="C21" s="232"/>
      <c r="D21" s="232"/>
      <c r="E21" s="232"/>
      <c r="F21" s="232"/>
      <c r="G21" s="232"/>
      <c r="H21" s="233"/>
      <c r="I21" s="204"/>
      <c r="J21" s="443"/>
      <c r="K21" s="444"/>
      <c r="L21" s="444"/>
      <c r="M21" s="444"/>
      <c r="N21" s="445"/>
      <c r="O21" s="204"/>
      <c r="P21" s="204"/>
      <c r="Q21" s="204"/>
    </row>
    <row r="22" spans="1:17" ht="13.5" customHeight="1" thickBot="1">
      <c r="A22" s="571" t="s">
        <v>301</v>
      </c>
      <c r="B22" s="571"/>
      <c r="C22" s="571"/>
      <c r="D22" s="571"/>
      <c r="E22" s="571"/>
      <c r="F22" s="571"/>
      <c r="G22" s="571"/>
      <c r="H22" s="571"/>
      <c r="I22" s="204"/>
      <c r="J22" s="443"/>
      <c r="K22" s="444"/>
      <c r="L22" s="444"/>
      <c r="M22" s="444"/>
      <c r="N22" s="445"/>
      <c r="O22" s="204"/>
      <c r="P22" s="204"/>
      <c r="Q22" s="204"/>
    </row>
    <row r="23" spans="1:17" ht="23.25">
      <c r="A23" s="572" t="s">
        <v>296</v>
      </c>
      <c r="B23" s="573"/>
      <c r="C23" s="573"/>
      <c r="D23" s="573"/>
      <c r="E23" s="573"/>
      <c r="F23" s="573"/>
      <c r="G23" s="573"/>
      <c r="H23" s="574"/>
      <c r="I23" s="204"/>
      <c r="J23" s="443"/>
      <c r="K23" s="444"/>
      <c r="L23" s="444"/>
      <c r="M23" s="444"/>
      <c r="N23" s="445"/>
      <c r="O23" s="204"/>
      <c r="P23" s="204"/>
      <c r="Q23" s="204"/>
    </row>
    <row r="24" spans="1:17" ht="15.75">
      <c r="A24" s="206"/>
      <c r="B24" s="207"/>
      <c r="C24" s="207"/>
      <c r="D24" s="207"/>
      <c r="E24" s="207"/>
      <c r="F24" s="207"/>
      <c r="G24" s="207"/>
      <c r="H24" s="208"/>
      <c r="I24" s="204"/>
      <c r="J24" s="443"/>
      <c r="K24" s="444"/>
      <c r="L24" s="444"/>
      <c r="M24" s="444"/>
      <c r="N24" s="445"/>
      <c r="O24" s="204"/>
      <c r="P24" s="204"/>
      <c r="Q24" s="204"/>
    </row>
    <row r="25" spans="1:17" ht="12.75">
      <c r="A25" s="564" t="s">
        <v>297</v>
      </c>
      <c r="B25" s="565"/>
      <c r="C25" s="565"/>
      <c r="D25" s="565" t="s">
        <v>298</v>
      </c>
      <c r="E25" s="565"/>
      <c r="F25" s="244"/>
      <c r="G25" s="245"/>
      <c r="H25" s="213"/>
      <c r="I25" s="204"/>
      <c r="J25" s="443"/>
      <c r="K25" s="444"/>
      <c r="L25" s="444"/>
      <c r="M25" s="444"/>
      <c r="N25" s="445"/>
      <c r="O25" s="204"/>
      <c r="P25" s="204"/>
      <c r="Q25" s="204"/>
    </row>
    <row r="26" spans="1:17" ht="12.75">
      <c r="A26" s="217"/>
      <c r="B26" s="257">
        <v>0.5</v>
      </c>
      <c r="C26" s="100"/>
      <c r="D26" s="246">
        <f>ROUNDDOWN(((B26*1440)/B28)/60,0)</f>
        <v>1</v>
      </c>
      <c r="E26" s="247" t="s">
        <v>299</v>
      </c>
      <c r="F26" s="248">
        <f>SUM((B26*1440)/B28)-D26*60</f>
        <v>12</v>
      </c>
      <c r="G26" s="247" t="s">
        <v>17</v>
      </c>
      <c r="H26" s="249"/>
      <c r="I26" s="204"/>
      <c r="J26" s="434" t="s">
        <v>58</v>
      </c>
      <c r="K26" s="435"/>
      <c r="L26" s="435"/>
      <c r="M26" s="435"/>
      <c r="N26" s="436"/>
      <c r="O26" s="204"/>
      <c r="P26" s="204"/>
      <c r="Q26" s="204"/>
    </row>
    <row r="27" spans="1:17" ht="12.75">
      <c r="A27" s="564" t="s">
        <v>300</v>
      </c>
      <c r="B27" s="565"/>
      <c r="C27" s="565"/>
      <c r="D27" s="250"/>
      <c r="E27" s="250"/>
      <c r="F27" s="250"/>
      <c r="G27" s="250"/>
      <c r="H27" s="249"/>
      <c r="I27" s="204"/>
      <c r="J27" s="434"/>
      <c r="K27" s="435"/>
      <c r="L27" s="435"/>
      <c r="M27" s="435"/>
      <c r="N27" s="436"/>
      <c r="O27" s="204"/>
      <c r="P27" s="204"/>
      <c r="Q27" s="204"/>
    </row>
    <row r="28" spans="1:17" ht="12.75">
      <c r="A28" s="217"/>
      <c r="B28" s="258">
        <v>10</v>
      </c>
      <c r="C28" s="100"/>
      <c r="D28" s="100"/>
      <c r="E28" s="100"/>
      <c r="F28" s="100"/>
      <c r="G28" s="100"/>
      <c r="H28" s="213"/>
      <c r="I28" s="204"/>
      <c r="J28" s="434"/>
      <c r="K28" s="435"/>
      <c r="L28" s="435"/>
      <c r="M28" s="435"/>
      <c r="N28" s="436"/>
      <c r="O28" s="204"/>
      <c r="P28" s="204"/>
      <c r="Q28" s="204"/>
    </row>
    <row r="29" spans="1:17" ht="27.75" customHeight="1" thickBot="1">
      <c r="A29" s="219"/>
      <c r="B29" s="107"/>
      <c r="C29" s="107"/>
      <c r="D29" s="107"/>
      <c r="E29" s="107"/>
      <c r="F29" s="107"/>
      <c r="G29" s="107"/>
      <c r="H29" s="220"/>
      <c r="I29" s="204"/>
      <c r="J29" s="434"/>
      <c r="K29" s="435"/>
      <c r="L29" s="435"/>
      <c r="M29" s="435"/>
      <c r="N29" s="436"/>
      <c r="O29" s="204"/>
      <c r="P29" s="204"/>
      <c r="Q29" s="204"/>
    </row>
    <row r="30" spans="1:17" ht="12.75">
      <c r="A30" s="204"/>
      <c r="B30" s="204"/>
      <c r="C30" s="204"/>
      <c r="D30" s="204"/>
      <c r="E30" s="204"/>
      <c r="F30" s="204"/>
      <c r="G30" s="204"/>
      <c r="H30" s="204"/>
      <c r="I30" s="204"/>
      <c r="J30" s="434"/>
      <c r="K30" s="435"/>
      <c r="L30" s="435"/>
      <c r="M30" s="435"/>
      <c r="N30" s="436"/>
      <c r="O30" s="204"/>
      <c r="P30" s="204"/>
      <c r="Q30" s="204"/>
    </row>
    <row r="31" spans="1:17" ht="12.75">
      <c r="A31" s="204"/>
      <c r="B31" s="204"/>
      <c r="C31" s="204"/>
      <c r="D31" s="204"/>
      <c r="E31" s="204"/>
      <c r="F31" s="204"/>
      <c r="G31" s="204"/>
      <c r="H31" s="204"/>
      <c r="I31" s="204"/>
      <c r="J31" s="434"/>
      <c r="K31" s="435"/>
      <c r="L31" s="435"/>
      <c r="M31" s="435"/>
      <c r="N31" s="436"/>
      <c r="O31" s="204"/>
      <c r="P31" s="204"/>
      <c r="Q31" s="204"/>
    </row>
    <row r="32" spans="1:17" ht="15.75" customHeight="1">
      <c r="A32" s="204"/>
      <c r="B32" s="204"/>
      <c r="C32" s="204"/>
      <c r="D32" s="204"/>
      <c r="E32" s="204"/>
      <c r="F32" s="204"/>
      <c r="G32" s="204"/>
      <c r="H32" s="204"/>
      <c r="I32" s="204"/>
      <c r="J32" s="452" t="s">
        <v>60</v>
      </c>
      <c r="K32" s="453"/>
      <c r="L32" s="453"/>
      <c r="M32" s="453"/>
      <c r="N32" s="454"/>
      <c r="O32" s="204"/>
      <c r="P32" s="204"/>
      <c r="Q32" s="204"/>
    </row>
    <row r="33" spans="1:17" ht="14.25" customHeight="1">
      <c r="A33" s="204"/>
      <c r="B33" s="204"/>
      <c r="C33" s="204"/>
      <c r="D33" s="204"/>
      <c r="E33" s="204"/>
      <c r="F33" s="204"/>
      <c r="G33" s="204"/>
      <c r="H33" s="204"/>
      <c r="I33" s="204"/>
      <c r="J33" s="452"/>
      <c r="K33" s="453"/>
      <c r="L33" s="453"/>
      <c r="M33" s="453"/>
      <c r="N33" s="454"/>
      <c r="O33" s="204"/>
      <c r="P33" s="204"/>
      <c r="Q33" s="204"/>
    </row>
    <row r="34" spans="1:17" ht="12.75">
      <c r="A34" s="204"/>
      <c r="B34" s="204"/>
      <c r="C34" s="204"/>
      <c r="D34" s="204"/>
      <c r="E34" s="204"/>
      <c r="F34" s="204"/>
      <c r="G34" s="204"/>
      <c r="H34" s="204"/>
      <c r="I34" s="204"/>
      <c r="J34" s="452"/>
      <c r="K34" s="453"/>
      <c r="L34" s="453"/>
      <c r="M34" s="453"/>
      <c r="N34" s="454"/>
      <c r="O34" s="204"/>
      <c r="P34" s="204"/>
      <c r="Q34" s="204"/>
    </row>
    <row r="35" spans="1:17" ht="17.25" customHeight="1">
      <c r="A35" s="204"/>
      <c r="B35" s="204"/>
      <c r="C35" s="204"/>
      <c r="D35" s="204"/>
      <c r="E35" s="204"/>
      <c r="F35" s="204"/>
      <c r="G35" s="204"/>
      <c r="H35" s="204"/>
      <c r="I35" s="204"/>
      <c r="J35" s="452"/>
      <c r="K35" s="453"/>
      <c r="L35" s="453"/>
      <c r="M35" s="453"/>
      <c r="N35" s="454"/>
      <c r="O35" s="204"/>
      <c r="P35" s="204"/>
      <c r="Q35" s="204"/>
    </row>
    <row r="36" spans="1:17" ht="14.25" customHeight="1">
      <c r="A36" s="204"/>
      <c r="B36" s="204"/>
      <c r="C36" s="204"/>
      <c r="D36" s="204"/>
      <c r="E36" s="204"/>
      <c r="F36" s="204"/>
      <c r="G36" s="204"/>
      <c r="H36" s="204"/>
      <c r="I36" s="204"/>
      <c r="J36" s="452"/>
      <c r="K36" s="453"/>
      <c r="L36" s="453"/>
      <c r="M36" s="453"/>
      <c r="N36" s="454"/>
      <c r="O36" s="204"/>
      <c r="P36" s="204"/>
      <c r="Q36" s="204"/>
    </row>
    <row r="37" spans="1:17" ht="12.75">
      <c r="A37" s="204"/>
      <c r="B37" s="204"/>
      <c r="C37" s="204"/>
      <c r="D37" s="204"/>
      <c r="E37" s="204"/>
      <c r="F37" s="204"/>
      <c r="G37" s="204"/>
      <c r="H37" s="204"/>
      <c r="I37" s="204"/>
      <c r="J37" s="452"/>
      <c r="K37" s="453"/>
      <c r="L37" s="453"/>
      <c r="M37" s="453"/>
      <c r="N37" s="454"/>
      <c r="O37" s="204"/>
      <c r="P37" s="204"/>
      <c r="Q37" s="204"/>
    </row>
    <row r="38" spans="1:17" ht="18.75" customHeight="1">
      <c r="A38" s="204"/>
      <c r="B38" s="204"/>
      <c r="C38" s="204"/>
      <c r="D38" s="204"/>
      <c r="E38" s="204"/>
      <c r="F38" s="204"/>
      <c r="G38" s="204"/>
      <c r="H38" s="204"/>
      <c r="I38" s="204"/>
      <c r="J38" s="452"/>
      <c r="K38" s="453"/>
      <c r="L38" s="453"/>
      <c r="M38" s="453"/>
      <c r="N38" s="454"/>
      <c r="O38" s="204"/>
      <c r="P38" s="204"/>
      <c r="Q38" s="204"/>
    </row>
    <row r="39" spans="1:17" ht="12.75">
      <c r="A39" s="204"/>
      <c r="B39" s="204"/>
      <c r="C39" s="204"/>
      <c r="D39" s="204"/>
      <c r="E39" s="204"/>
      <c r="F39" s="204"/>
      <c r="G39" s="204"/>
      <c r="H39" s="204"/>
      <c r="I39" s="204"/>
      <c r="J39" s="452"/>
      <c r="K39" s="453"/>
      <c r="L39" s="453"/>
      <c r="M39" s="453"/>
      <c r="N39" s="454"/>
      <c r="O39" s="204"/>
      <c r="P39" s="204"/>
      <c r="Q39" s="204"/>
    </row>
    <row r="40" spans="1:17" ht="12.75">
      <c r="A40" s="204"/>
      <c r="B40" s="204"/>
      <c r="C40" s="204"/>
      <c r="D40" s="204"/>
      <c r="E40" s="204"/>
      <c r="F40" s="204"/>
      <c r="G40" s="204"/>
      <c r="H40" s="204"/>
      <c r="I40" s="204"/>
      <c r="J40" s="452"/>
      <c r="K40" s="453"/>
      <c r="L40" s="453"/>
      <c r="M40" s="453"/>
      <c r="N40" s="454"/>
      <c r="O40" s="204"/>
      <c r="P40" s="204"/>
      <c r="Q40" s="204"/>
    </row>
    <row r="41" spans="1:17" ht="20.25" customHeight="1" thickBot="1">
      <c r="A41" s="204"/>
      <c r="B41" s="204"/>
      <c r="C41" s="204"/>
      <c r="D41" s="204"/>
      <c r="E41" s="204"/>
      <c r="F41" s="204"/>
      <c r="G41" s="204"/>
      <c r="H41" s="204"/>
      <c r="I41" s="204"/>
      <c r="J41" s="575"/>
      <c r="K41" s="576"/>
      <c r="L41" s="576"/>
      <c r="M41" s="576"/>
      <c r="N41" s="577"/>
      <c r="O41" s="204"/>
      <c r="P41" s="204"/>
      <c r="Q41" s="204"/>
    </row>
    <row r="42" spans="1:17" ht="13.5" thickBot="1">
      <c r="A42" s="204"/>
      <c r="B42" s="204"/>
      <c r="C42" s="204"/>
      <c r="D42" s="204"/>
      <c r="E42" s="204"/>
      <c r="F42" s="204"/>
      <c r="G42" s="204"/>
      <c r="H42" s="204"/>
      <c r="I42" s="204"/>
      <c r="J42" s="71"/>
      <c r="K42" s="71"/>
      <c r="L42" s="71"/>
      <c r="M42" s="71"/>
      <c r="N42" s="71"/>
      <c r="O42" s="204"/>
      <c r="P42" s="204"/>
      <c r="Q42" s="204"/>
    </row>
    <row r="43" spans="1:17" ht="15.75" customHeight="1">
      <c r="A43" s="204"/>
      <c r="B43" s="204"/>
      <c r="C43" s="204"/>
      <c r="D43" s="204"/>
      <c r="E43" s="204"/>
      <c r="F43" s="204"/>
      <c r="G43" s="204"/>
      <c r="H43" s="204"/>
      <c r="I43" s="204"/>
      <c r="J43" s="386" t="s">
        <v>61</v>
      </c>
      <c r="K43" s="387"/>
      <c r="L43" s="387"/>
      <c r="M43" s="387"/>
      <c r="N43" s="388"/>
      <c r="O43" s="204"/>
      <c r="P43" s="204"/>
      <c r="Q43" s="204"/>
    </row>
    <row r="44" spans="1:17" ht="12.75">
      <c r="A44" s="204"/>
      <c r="B44" s="204"/>
      <c r="C44" s="204"/>
      <c r="D44" s="204"/>
      <c r="E44" s="204"/>
      <c r="F44" s="204"/>
      <c r="G44" s="204"/>
      <c r="H44" s="204"/>
      <c r="I44" s="204"/>
      <c r="J44" s="389"/>
      <c r="K44" s="390"/>
      <c r="L44" s="390"/>
      <c r="M44" s="390"/>
      <c r="N44" s="391"/>
      <c r="O44" s="204"/>
      <c r="P44" s="204"/>
      <c r="Q44" s="204"/>
    </row>
    <row r="45" spans="1:17" ht="12.75">
      <c r="A45" s="204"/>
      <c r="B45" s="204"/>
      <c r="C45" s="204"/>
      <c r="D45" s="204"/>
      <c r="E45" s="204"/>
      <c r="F45" s="204"/>
      <c r="G45" s="204"/>
      <c r="H45" s="204"/>
      <c r="I45" s="204"/>
      <c r="J45" s="389"/>
      <c r="K45" s="390"/>
      <c r="L45" s="390"/>
      <c r="M45" s="390"/>
      <c r="N45" s="391"/>
      <c r="O45" s="204"/>
      <c r="P45" s="204"/>
      <c r="Q45" s="204"/>
    </row>
    <row r="46" spans="1:17" ht="16.5" customHeight="1">
      <c r="A46" s="204"/>
      <c r="B46" s="204"/>
      <c r="C46" s="204"/>
      <c r="D46" s="204"/>
      <c r="E46" s="204"/>
      <c r="F46" s="204"/>
      <c r="G46" s="204"/>
      <c r="H46" s="204"/>
      <c r="I46" s="204"/>
      <c r="J46" s="389"/>
      <c r="K46" s="390"/>
      <c r="L46" s="390"/>
      <c r="M46" s="390"/>
      <c r="N46" s="391"/>
      <c r="O46" s="204"/>
      <c r="P46" s="204"/>
      <c r="Q46" s="204"/>
    </row>
    <row r="47" spans="1:17" ht="15.75" customHeight="1">
      <c r="A47" s="204"/>
      <c r="B47" s="204"/>
      <c r="C47" s="204"/>
      <c r="D47" s="204"/>
      <c r="E47" s="204"/>
      <c r="F47" s="204"/>
      <c r="G47" s="204"/>
      <c r="H47" s="204"/>
      <c r="I47" s="204"/>
      <c r="J47" s="389"/>
      <c r="K47" s="390"/>
      <c r="L47" s="390"/>
      <c r="M47" s="390"/>
      <c r="N47" s="391"/>
      <c r="O47" s="204"/>
      <c r="P47" s="204"/>
      <c r="Q47" s="204"/>
    </row>
    <row r="48" spans="1:17" ht="12.75">
      <c r="A48" s="204"/>
      <c r="B48" s="204"/>
      <c r="C48" s="204"/>
      <c r="D48" s="204"/>
      <c r="E48" s="204"/>
      <c r="F48" s="204"/>
      <c r="G48" s="204"/>
      <c r="H48" s="204"/>
      <c r="I48" s="204"/>
      <c r="J48" s="389"/>
      <c r="K48" s="390"/>
      <c r="L48" s="390"/>
      <c r="M48" s="390"/>
      <c r="N48" s="391"/>
      <c r="O48" s="204"/>
      <c r="P48" s="204"/>
      <c r="Q48" s="204"/>
    </row>
    <row r="49" spans="1:17" ht="33.75" customHeight="1" thickBot="1">
      <c r="A49" s="204"/>
      <c r="B49" s="204"/>
      <c r="C49" s="204"/>
      <c r="D49" s="204"/>
      <c r="E49" s="204"/>
      <c r="F49" s="204"/>
      <c r="G49" s="204"/>
      <c r="H49" s="204"/>
      <c r="I49" s="204"/>
      <c r="J49" s="392"/>
      <c r="K49" s="393"/>
      <c r="L49" s="393"/>
      <c r="M49" s="393"/>
      <c r="N49" s="394"/>
      <c r="O49" s="204"/>
      <c r="P49" s="204"/>
      <c r="Q49" s="204"/>
    </row>
    <row r="50" spans="1:17" ht="12.75" customHeight="1" thickBot="1">
      <c r="A50" s="204"/>
      <c r="B50" s="204"/>
      <c r="C50" s="204"/>
      <c r="D50" s="204"/>
      <c r="E50" s="204"/>
      <c r="F50" s="204"/>
      <c r="G50" s="204"/>
      <c r="H50" s="204"/>
      <c r="I50" s="204"/>
      <c r="J50" s="204"/>
      <c r="K50" s="204"/>
      <c r="L50" s="204"/>
      <c r="M50" s="204"/>
      <c r="N50" s="204"/>
      <c r="O50" s="204"/>
      <c r="P50" s="204"/>
      <c r="Q50" s="204"/>
    </row>
    <row r="51" spans="10:14" ht="12.75" customHeight="1">
      <c r="J51" s="386" t="s">
        <v>466</v>
      </c>
      <c r="K51" s="387"/>
      <c r="L51" s="387"/>
      <c r="M51" s="387"/>
      <c r="N51" s="388"/>
    </row>
    <row r="52" spans="10:14" ht="12.75" customHeight="1">
      <c r="J52" s="389"/>
      <c r="K52" s="390"/>
      <c r="L52" s="390"/>
      <c r="M52" s="390"/>
      <c r="N52" s="391"/>
    </row>
    <row r="53" spans="10:14" ht="12.75" customHeight="1">
      <c r="J53" s="389"/>
      <c r="K53" s="390"/>
      <c r="L53" s="390"/>
      <c r="M53" s="390"/>
      <c r="N53" s="391"/>
    </row>
    <row r="54" spans="10:14" ht="15" customHeight="1">
      <c r="J54" s="389"/>
      <c r="K54" s="390"/>
      <c r="L54" s="390"/>
      <c r="M54" s="390"/>
      <c r="N54" s="391"/>
    </row>
    <row r="55" spans="10:14" ht="13.5" thickBot="1">
      <c r="J55" s="392"/>
      <c r="K55" s="393"/>
      <c r="L55" s="393"/>
      <c r="M55" s="393"/>
      <c r="N55" s="394"/>
    </row>
  </sheetData>
  <sheetProtection password="CE28" sheet="1"/>
  <mergeCells count="27">
    <mergeCell ref="J1:P1"/>
    <mergeCell ref="J12:N12"/>
    <mergeCell ref="J13:N13"/>
    <mergeCell ref="A1:H1"/>
    <mergeCell ref="A3:C3"/>
    <mergeCell ref="E3:G3"/>
    <mergeCell ref="A5:C5"/>
    <mergeCell ref="A8:H8"/>
    <mergeCell ref="J43:N49"/>
    <mergeCell ref="A15:H15"/>
    <mergeCell ref="B17:D17"/>
    <mergeCell ref="B18:D18"/>
    <mergeCell ref="C20:D20"/>
    <mergeCell ref="F20:G20"/>
    <mergeCell ref="A22:H22"/>
    <mergeCell ref="J14:N15"/>
    <mergeCell ref="J16:N25"/>
    <mergeCell ref="J51:N55"/>
    <mergeCell ref="A27:C27"/>
    <mergeCell ref="A9:H9"/>
    <mergeCell ref="E10:H10"/>
    <mergeCell ref="A14:H14"/>
    <mergeCell ref="A23:H23"/>
    <mergeCell ref="A25:C25"/>
    <mergeCell ref="D25:E25"/>
    <mergeCell ref="J26:N31"/>
    <mergeCell ref="J32:N41"/>
  </mergeCells>
  <dataValidations count="4">
    <dataValidation type="list" allowBlank="1" showInputMessage="1" showErrorMessage="1" sqref="H18">
      <formula1>$J$9:$J$10</formula1>
    </dataValidation>
    <dataValidation type="list" allowBlank="1" showInputMessage="1" showErrorMessage="1" sqref="F18:G18">
      <formula1>$J$4:$J$8</formula1>
    </dataValidation>
    <dataValidation type="list" allowBlank="1" showInputMessage="1" showErrorMessage="1" sqref="B18:D18">
      <formula1>$K$2:$K$8</formula1>
    </dataValidation>
    <dataValidation type="list" allowBlank="1" showInputMessage="1" showErrorMessage="1" sqref="E18">
      <formula1>$J$2:$J$3</formula1>
    </dataValidation>
  </dataValidations>
  <hyperlinks>
    <hyperlink ref="J13:N13" r:id="rId1" display="http://tim-twiser.clan.su"/>
  </hyperlinks>
  <printOptions/>
  <pageMargins left="0.75" right="0.75" top="1" bottom="1" header="0.5" footer="0.5"/>
  <pageSetup orientation="portrait" paperSize="9"/>
  <legacyDrawing r:id="rId3"/>
</worksheet>
</file>

<file path=xl/worksheets/sheet4.xml><?xml version="1.0" encoding="utf-8"?>
<worksheet xmlns="http://schemas.openxmlformats.org/spreadsheetml/2006/main" xmlns:r="http://schemas.openxmlformats.org/officeDocument/2006/relationships">
  <sheetPr>
    <outlinePr summaryBelow="0"/>
  </sheetPr>
  <dimension ref="A1:BO74"/>
  <sheetViews>
    <sheetView tabSelected="1" zoomScalePageLayoutView="0" workbookViewId="0" topLeftCell="A1">
      <selection activeCell="D20" sqref="D20"/>
    </sheetView>
  </sheetViews>
  <sheetFormatPr defaultColWidth="9.140625" defaultRowHeight="12.75"/>
  <cols>
    <col min="1" max="1" width="9.140625" style="65" customWidth="1"/>
    <col min="2" max="2" width="9.8515625" style="65" customWidth="1"/>
    <col min="3" max="3" width="9.140625" style="65" customWidth="1"/>
    <col min="4" max="4" width="10.28125" style="65" bestFit="1" customWidth="1"/>
    <col min="5" max="5" width="9.140625" style="65" customWidth="1"/>
    <col min="6" max="6" width="9.7109375" style="65" customWidth="1"/>
    <col min="7" max="7" width="10.28125" style="65" bestFit="1" customWidth="1"/>
    <col min="8" max="8" width="9.140625" style="65" customWidth="1"/>
    <col min="9" max="9" width="9.57421875" style="65" customWidth="1"/>
    <col min="10" max="10" width="9.140625" style="65" customWidth="1"/>
    <col min="11" max="11" width="9.7109375" style="65" customWidth="1"/>
    <col min="12" max="12" width="9.8515625" style="65" customWidth="1"/>
    <col min="13" max="13" width="10.8515625" style="65" customWidth="1"/>
    <col min="14" max="14" width="9.421875" style="65" customWidth="1"/>
    <col min="15" max="16" width="9.7109375" style="65" customWidth="1"/>
    <col min="17" max="17" width="10.28125" style="65" customWidth="1"/>
    <col min="18" max="22" width="9.421875" style="65" customWidth="1"/>
    <col min="23" max="23" width="9.28125" style="65" customWidth="1"/>
    <col min="24" max="28" width="9.140625" style="65" customWidth="1"/>
    <col min="29" max="29" width="13.421875" style="64" customWidth="1"/>
    <col min="30" max="33" width="9.140625" style="64" customWidth="1"/>
    <col min="34" max="34" width="13.00390625" style="64" customWidth="1"/>
    <col min="35" max="35" width="13.28125" style="64" customWidth="1"/>
    <col min="36" max="36" width="9.28125" style="64" bestFit="1" customWidth="1"/>
    <col min="37" max="37" width="10.28125" style="64" bestFit="1" customWidth="1"/>
    <col min="38" max="45" width="9.140625" style="64" customWidth="1"/>
    <col min="46" max="55" width="9.28125" style="64" bestFit="1" customWidth="1"/>
    <col min="56" max="58" width="9.7109375" style="64" customWidth="1"/>
    <col min="59" max="67" width="9.140625" style="64" customWidth="1"/>
    <col min="68" max="16384" width="9.140625" style="65" customWidth="1"/>
  </cols>
  <sheetData>
    <row r="1" spans="1:67" ht="33.75" customHeight="1" thickBot="1">
      <c r="A1" s="60"/>
      <c r="B1" s="60" t="s">
        <v>303</v>
      </c>
      <c r="C1" s="60"/>
      <c r="D1" s="60"/>
      <c r="E1" s="60"/>
      <c r="F1" s="61" t="s">
        <v>304</v>
      </c>
      <c r="G1" s="61"/>
      <c r="H1" s="61"/>
      <c r="I1" s="61"/>
      <c r="J1" s="188" t="s">
        <v>305</v>
      </c>
      <c r="K1" s="187"/>
      <c r="L1" s="63"/>
      <c r="M1" s="63"/>
      <c r="N1" s="62"/>
      <c r="O1" s="62"/>
      <c r="P1" s="62"/>
      <c r="Q1" s="62"/>
      <c r="R1" s="62"/>
      <c r="S1" s="62"/>
      <c r="T1" s="62"/>
      <c r="U1" s="62"/>
      <c r="V1" s="62"/>
      <c r="W1" s="60"/>
      <c r="X1" s="60"/>
      <c r="Y1" s="60"/>
      <c r="Z1" s="60"/>
      <c r="AA1" s="60"/>
      <c r="AB1" s="371" t="s">
        <v>471</v>
      </c>
      <c r="AC1" s="371"/>
      <c r="AD1" s="371" t="s">
        <v>306</v>
      </c>
      <c r="AE1" s="372" t="s">
        <v>307</v>
      </c>
      <c r="AF1" s="372" t="s">
        <v>308</v>
      </c>
      <c r="AG1" s="371">
        <v>0</v>
      </c>
      <c r="AH1" s="373" t="s">
        <v>235</v>
      </c>
      <c r="AI1" s="613" t="s">
        <v>309</v>
      </c>
      <c r="AJ1" s="613"/>
      <c r="AK1" s="374"/>
      <c r="AL1" s="373" t="s">
        <v>235</v>
      </c>
      <c r="AM1" s="375">
        <v>0</v>
      </c>
      <c r="AN1" s="375">
        <v>0</v>
      </c>
      <c r="AO1" s="373" t="s">
        <v>235</v>
      </c>
      <c r="AP1" s="373" t="s">
        <v>235</v>
      </c>
      <c r="AQ1" s="373" t="s">
        <v>235</v>
      </c>
      <c r="AR1" s="371"/>
      <c r="AS1" s="372">
        <v>1</v>
      </c>
      <c r="AT1" s="372">
        <v>2</v>
      </c>
      <c r="AU1" s="372">
        <v>3</v>
      </c>
      <c r="AV1" s="372">
        <v>4</v>
      </c>
      <c r="AW1" s="372">
        <v>5</v>
      </c>
      <c r="AX1" s="372">
        <v>6</v>
      </c>
      <c r="AY1" s="372">
        <v>7</v>
      </c>
      <c r="AZ1" s="372">
        <v>8</v>
      </c>
      <c r="BA1" s="372">
        <v>9</v>
      </c>
      <c r="BB1" s="372">
        <v>10</v>
      </c>
      <c r="BC1" s="372">
        <v>11</v>
      </c>
      <c r="BD1" s="372">
        <v>12</v>
      </c>
      <c r="BE1" s="372">
        <v>13</v>
      </c>
      <c r="BF1" s="372">
        <v>14</v>
      </c>
      <c r="BG1" s="372">
        <v>15</v>
      </c>
      <c r="BH1" s="372">
        <v>16</v>
      </c>
      <c r="BI1" s="371"/>
      <c r="BJ1" s="371"/>
      <c r="BK1" s="371"/>
      <c r="BL1" s="371"/>
      <c r="BM1" s="371"/>
      <c r="BN1" s="371"/>
      <c r="BO1" s="371"/>
    </row>
    <row r="2" spans="1:67" ht="12.75" customHeight="1" thickBot="1">
      <c r="A2" s="62"/>
      <c r="B2" s="66" t="s">
        <v>310</v>
      </c>
      <c r="C2" s="614" t="s">
        <v>311</v>
      </c>
      <c r="D2" s="615"/>
      <c r="E2" s="67"/>
      <c r="F2" s="68"/>
      <c r="G2" s="69" t="s">
        <v>312</v>
      </c>
      <c r="H2" s="69" t="s">
        <v>31</v>
      </c>
      <c r="I2" s="70" t="s">
        <v>313</v>
      </c>
      <c r="J2" s="71"/>
      <c r="K2" s="72" t="s">
        <v>314</v>
      </c>
      <c r="L2" s="73">
        <f>SUM(D6+G3+H3+I3)</f>
        <v>9.6</v>
      </c>
      <c r="M2" s="189" t="str">
        <f>IF(G14&gt;E31,"Ошибка! Сапоги-скороходы не работают с числом когорт более 2х!"," ")</f>
        <v> </v>
      </c>
      <c r="N2" s="62"/>
      <c r="O2" s="62"/>
      <c r="P2" s="62"/>
      <c r="Q2" s="62"/>
      <c r="R2" s="62"/>
      <c r="S2" s="62"/>
      <c r="T2" s="62"/>
      <c r="U2" s="62"/>
      <c r="V2" s="62"/>
      <c r="W2" s="62"/>
      <c r="X2" s="62"/>
      <c r="Y2" s="62"/>
      <c r="Z2" s="62"/>
      <c r="AA2" s="62"/>
      <c r="AB2" s="379" t="s">
        <v>476</v>
      </c>
      <c r="AC2" s="371"/>
      <c r="AD2" s="376" t="s">
        <v>240</v>
      </c>
      <c r="AE2" s="376">
        <f>IF(D25&lt;&gt;AG1,1,7)</f>
        <v>7</v>
      </c>
      <c r="AF2" s="376" t="e">
        <f>IF(#REF!&lt;&gt;AG1,1,7)</f>
        <v>#REF!</v>
      </c>
      <c r="AG2" s="371">
        <v>1</v>
      </c>
      <c r="AH2" s="373" t="s">
        <v>317</v>
      </c>
      <c r="AI2" s="373" t="s">
        <v>318</v>
      </c>
      <c r="AJ2" s="373">
        <f>$D12*0.08</f>
        <v>0.48</v>
      </c>
      <c r="AK2" s="373" t="e">
        <f>#REF!*0.08</f>
        <v>#REF!</v>
      </c>
      <c r="AL2" s="373" t="s">
        <v>318</v>
      </c>
      <c r="AM2" s="373">
        <f>D7*0.08</f>
        <v>3.2</v>
      </c>
      <c r="AN2" s="373" t="e">
        <f>#REF!*0.08</f>
        <v>#REF!</v>
      </c>
      <c r="AO2" s="373" t="s">
        <v>319</v>
      </c>
      <c r="AP2" s="373" t="s">
        <v>320</v>
      </c>
      <c r="AQ2" s="373" t="s">
        <v>321</v>
      </c>
      <c r="AR2" s="371"/>
      <c r="AS2" s="377" t="s">
        <v>150</v>
      </c>
      <c r="AT2" s="378" t="s">
        <v>152</v>
      </c>
      <c r="AU2" s="378" t="s">
        <v>153</v>
      </c>
      <c r="AV2" s="378" t="s">
        <v>154</v>
      </c>
      <c r="AW2" s="378" t="s">
        <v>155</v>
      </c>
      <c r="AX2" s="378" t="s">
        <v>156</v>
      </c>
      <c r="AY2" s="378" t="s">
        <v>157</v>
      </c>
      <c r="AZ2" s="378" t="s">
        <v>158</v>
      </c>
      <c r="BA2" s="378" t="s">
        <v>159</v>
      </c>
      <c r="BB2" s="378" t="s">
        <v>160</v>
      </c>
      <c r="BC2" s="378" t="s">
        <v>322</v>
      </c>
      <c r="BD2" s="378" t="s">
        <v>323</v>
      </c>
      <c r="BE2" s="378" t="s">
        <v>324</v>
      </c>
      <c r="BF2" s="378" t="s">
        <v>325</v>
      </c>
      <c r="BG2" s="378" t="s">
        <v>326</v>
      </c>
      <c r="BH2" s="378" t="s">
        <v>327</v>
      </c>
      <c r="BI2" s="371"/>
      <c r="BJ2" s="371"/>
      <c r="BK2" s="371"/>
      <c r="BL2" s="371"/>
      <c r="BM2" s="371"/>
      <c r="BN2" s="371"/>
      <c r="BO2" s="371"/>
    </row>
    <row r="3" spans="1:67" ht="17.25" customHeight="1">
      <c r="A3" s="62"/>
      <c r="B3" s="78" t="s">
        <v>328</v>
      </c>
      <c r="C3" s="616" t="s">
        <v>166</v>
      </c>
      <c r="D3" s="617"/>
      <c r="E3" s="79"/>
      <c r="F3" s="80" t="s">
        <v>314</v>
      </c>
      <c r="G3" s="81">
        <f>SUM(D6*(0.12*D21))</f>
        <v>0</v>
      </c>
      <c r="H3" s="81">
        <f>IF(C2=AD6,-D6*0.3,IF(C2=AD7,D6*0.3,0))</f>
        <v>0</v>
      </c>
      <c r="I3" s="82">
        <f>IF(C27=AH21,50,IF(C31=AP2,D6*0.12,IF(C31=AP3,D6*0.24,IF(C31=AP4,D6*0.36,IF(C31=AP5,D6*0.48,IF(C31=AP7,D6,IF(C31=AP6,D6*0.6,IF(C31=AP7,D6,0))))))))</f>
        <v>3.5999999999999996</v>
      </c>
      <c r="J3" s="370">
        <f>SUM(D7+G4+H4+I4)</f>
        <v>64</v>
      </c>
      <c r="K3" s="83" t="s">
        <v>329</v>
      </c>
      <c r="L3" s="84">
        <f>IF(M3=AB12,J3,IF(M3=AB13,(J3+D7*0.08),IF(M3=AB14,(J3+D7*0.16),IF(M3=AB15,(J3+D7*0.24),IF(M3=AB16,(J3+D7*0.32),0)))))</f>
        <v>64</v>
      </c>
      <c r="M3" s="368" t="s">
        <v>488</v>
      </c>
      <c r="N3" s="197" t="s">
        <v>465</v>
      </c>
      <c r="O3" s="63"/>
      <c r="P3" s="63"/>
      <c r="Q3" s="63"/>
      <c r="R3" s="60"/>
      <c r="S3" s="60"/>
      <c r="T3" s="60"/>
      <c r="U3" s="60"/>
      <c r="V3" s="60"/>
      <c r="W3" s="446" t="s">
        <v>53</v>
      </c>
      <c r="X3" s="447"/>
      <c r="Y3" s="447"/>
      <c r="Z3" s="447"/>
      <c r="AA3" s="448"/>
      <c r="AB3" s="371" t="s">
        <v>472</v>
      </c>
      <c r="AC3" s="371"/>
      <c r="AD3" s="376" t="s">
        <v>245</v>
      </c>
      <c r="AE3" s="376">
        <f>IF(D25&lt;&gt;AG1,IF(D25=AG2,4,IF(D25=AG3,3,IF(D25=AG4,2,1))),7)</f>
        <v>7</v>
      </c>
      <c r="AF3" s="376" t="e">
        <f>IF(#REF!&lt;&gt;AG1,IF(#REF!=AG2,4,IF(#REF!=AG3,3,IF(#REF!=AG4,2,1))),7)</f>
        <v>#REF!</v>
      </c>
      <c r="AG3" s="371">
        <v>2</v>
      </c>
      <c r="AH3" s="373" t="s">
        <v>330</v>
      </c>
      <c r="AI3" s="373" t="s">
        <v>331</v>
      </c>
      <c r="AJ3" s="373">
        <f>$D12*0.16</f>
        <v>0.96</v>
      </c>
      <c r="AK3" s="373" t="e">
        <f>#REF!*0.16</f>
        <v>#REF!</v>
      </c>
      <c r="AL3" s="373" t="s">
        <v>331</v>
      </c>
      <c r="AM3" s="373">
        <f>D7*0.16</f>
        <v>6.4</v>
      </c>
      <c r="AN3" s="373" t="e">
        <f>#REF!*0.16</f>
        <v>#REF!</v>
      </c>
      <c r="AO3" s="373" t="s">
        <v>332</v>
      </c>
      <c r="AP3" s="373" t="s">
        <v>333</v>
      </c>
      <c r="AQ3" s="373" t="s">
        <v>334</v>
      </c>
      <c r="AR3" s="371"/>
      <c r="AS3" s="371" t="s">
        <v>170</v>
      </c>
      <c r="AT3" s="372">
        <v>6</v>
      </c>
      <c r="AU3" s="372">
        <v>7</v>
      </c>
      <c r="AV3" s="372">
        <v>2</v>
      </c>
      <c r="AW3" s="372">
        <v>9</v>
      </c>
      <c r="AX3" s="372">
        <v>10</v>
      </c>
      <c r="AY3" s="372">
        <v>9</v>
      </c>
      <c r="AZ3" s="372">
        <v>50</v>
      </c>
      <c r="BA3" s="372">
        <v>6</v>
      </c>
      <c r="BB3" s="372">
        <v>10</v>
      </c>
      <c r="BC3" s="372">
        <v>7</v>
      </c>
      <c r="BD3" s="372">
        <v>0</v>
      </c>
      <c r="BE3" s="383">
        <f>-AT3*0.2</f>
        <v>-1.2000000000000002</v>
      </c>
      <c r="BF3" s="383">
        <f>-AT3*0.3</f>
        <v>-1.7999999999999998</v>
      </c>
      <c r="BG3" s="383">
        <f>-AU3*0.2</f>
        <v>-1.4000000000000001</v>
      </c>
      <c r="BH3" s="383">
        <f>-AU3*0.3</f>
        <v>-2.1</v>
      </c>
      <c r="BI3" s="605" t="s">
        <v>171</v>
      </c>
      <c r="BJ3" s="605"/>
      <c r="BK3" s="605"/>
      <c r="BL3" s="605"/>
      <c r="BM3" s="605"/>
      <c r="BN3" s="605"/>
      <c r="BO3" s="605"/>
    </row>
    <row r="4" spans="1:67" ht="23.25" thickBot="1">
      <c r="A4" s="62"/>
      <c r="B4" s="606" t="s">
        <v>335</v>
      </c>
      <c r="C4" s="607"/>
      <c r="D4" s="85">
        <v>20</v>
      </c>
      <c r="E4" s="86">
        <f>IF(I14&lt;G14,"Ошибка!","")</f>
      </c>
      <c r="F4" s="83" t="s">
        <v>329</v>
      </c>
      <c r="G4" s="81">
        <f>SUM(D7*(0.05*D20))</f>
        <v>8</v>
      </c>
      <c r="H4" s="81">
        <f>+IF(C2=AD9,-D7*0.2,0)</f>
        <v>0</v>
      </c>
      <c r="I4" s="87">
        <f>IF(C27=AH22,2000,IF(C29=AL1,0,VLOOKUP(C29,AL2:AM11,2)))</f>
        <v>16</v>
      </c>
      <c r="J4" s="370">
        <f>G5+H5+I5</f>
        <v>0</v>
      </c>
      <c r="K4" s="83" t="s">
        <v>336</v>
      </c>
      <c r="L4" s="84">
        <f>IF(C27=AH17,J4+G5*0.25,IF(C27=AH18,J4+G5*0.5,IF(C27=AH19,J4+G5*0.75,IF(C27=AH20,J4+G5,IF(C27=AH21,J4+G5*1.25,J4)))))</f>
        <v>0</v>
      </c>
      <c r="M4" s="62"/>
      <c r="N4" s="618" t="s">
        <v>456</v>
      </c>
      <c r="O4" s="619"/>
      <c r="P4" s="198" t="s">
        <v>457</v>
      </c>
      <c r="Q4" s="620" t="s">
        <v>458</v>
      </c>
      <c r="R4" s="621"/>
      <c r="S4" s="198" t="s">
        <v>196</v>
      </c>
      <c r="T4" s="196" t="s">
        <v>459</v>
      </c>
      <c r="U4" s="196" t="s">
        <v>460</v>
      </c>
      <c r="V4" s="62"/>
      <c r="W4" s="449" t="s">
        <v>55</v>
      </c>
      <c r="X4" s="450"/>
      <c r="Y4" s="450"/>
      <c r="Z4" s="450"/>
      <c r="AA4" s="451"/>
      <c r="AB4" s="379" t="s">
        <v>473</v>
      </c>
      <c r="AC4" s="371"/>
      <c r="AD4" s="376" t="s">
        <v>248</v>
      </c>
      <c r="AE4" s="376">
        <f>IF(D25&lt;&gt;AG1,IF(D25=AG2,7,IF(D25=AG3,6,IF(D25=AG4,5,4))),7)</f>
        <v>7</v>
      </c>
      <c r="AF4" s="376" t="e">
        <f>IF(#REF!&lt;&gt;AG1,IF(#REF!=AG2,7,IF(#REF!=AG3,6,IF(#REF!=AG4,5,4))),7)</f>
        <v>#REF!</v>
      </c>
      <c r="AG4" s="371">
        <v>3</v>
      </c>
      <c r="AH4" s="373" t="s">
        <v>337</v>
      </c>
      <c r="AI4" s="373" t="s">
        <v>338</v>
      </c>
      <c r="AJ4" s="373">
        <f>D12*0.24</f>
        <v>1.44</v>
      </c>
      <c r="AK4" s="373" t="e">
        <f>#REF!*0.24</f>
        <v>#REF!</v>
      </c>
      <c r="AL4" s="373" t="s">
        <v>338</v>
      </c>
      <c r="AM4" s="373">
        <f>D7*0.24</f>
        <v>9.6</v>
      </c>
      <c r="AN4" s="373" t="e">
        <f>#REF!*0.24</f>
        <v>#REF!</v>
      </c>
      <c r="AO4" s="373" t="s">
        <v>339</v>
      </c>
      <c r="AP4" s="373" t="s">
        <v>340</v>
      </c>
      <c r="AQ4" s="373" t="s">
        <v>341</v>
      </c>
      <c r="AR4" s="371"/>
      <c r="AS4" s="371" t="s">
        <v>342</v>
      </c>
      <c r="AT4" s="372">
        <v>10</v>
      </c>
      <c r="AU4" s="372">
        <v>0</v>
      </c>
      <c r="AV4" s="372">
        <v>1</v>
      </c>
      <c r="AW4" s="372">
        <v>9</v>
      </c>
      <c r="AX4" s="372">
        <v>12</v>
      </c>
      <c r="AY4" s="372">
        <v>12</v>
      </c>
      <c r="AZ4" s="372">
        <v>60</v>
      </c>
      <c r="BA4" s="372">
        <v>8</v>
      </c>
      <c r="BB4" s="372">
        <v>7</v>
      </c>
      <c r="BC4" s="380">
        <v>6</v>
      </c>
      <c r="BD4" s="372">
        <v>0</v>
      </c>
      <c r="BE4" s="383">
        <v>0</v>
      </c>
      <c r="BF4" s="383">
        <v>0</v>
      </c>
      <c r="BG4" s="383" t="s">
        <v>235</v>
      </c>
      <c r="BH4" s="383" t="s">
        <v>235</v>
      </c>
      <c r="BI4" s="371" t="s">
        <v>186</v>
      </c>
      <c r="BJ4" s="371"/>
      <c r="BK4" s="371"/>
      <c r="BL4" s="371"/>
      <c r="BM4" s="371"/>
      <c r="BN4" s="371"/>
      <c r="BO4" s="371"/>
    </row>
    <row r="5" spans="1:67" ht="15.75">
      <c r="A5" s="62"/>
      <c r="B5" s="593" t="s">
        <v>343</v>
      </c>
      <c r="C5" s="608"/>
      <c r="D5" s="609"/>
      <c r="E5" s="67"/>
      <c r="F5" s="83" t="s">
        <v>336</v>
      </c>
      <c r="G5" s="89">
        <f>D24*12.5+D23*12.5</f>
        <v>0</v>
      </c>
      <c r="H5" s="89">
        <f>IF(C2=AD6,-(G5+10)*0.4,IF(C2=AD8,(G5)*0.5,0))</f>
        <v>0</v>
      </c>
      <c r="I5" s="87">
        <f>IF(C30=AO2,(G5+10)*0.12,IF(C30=AO3,(G5+10)*0.24,IF(C30=AO4,(G5+10)*0.36,IF(C30=AO5,(G5+10)*0.48,IF(C30=AO6,(G5+10)*0.6,0)))))</f>
        <v>0</v>
      </c>
      <c r="J5" s="369">
        <f>(D9+G6+H6+I6)</f>
        <v>5</v>
      </c>
      <c r="K5" s="83" t="s">
        <v>344</v>
      </c>
      <c r="L5" s="84">
        <f>IF(M5=AB2,J5,IF(M5=AB3,(J5+D9*0.07),IF(M5=AB4,(J5+D9*0.14),IF(M5=AB5,(J5+D9*0.21),IF(M5=AB6,(J5+D9*0.28),0)))))</f>
        <v>5</v>
      </c>
      <c r="M5" s="62" t="s">
        <v>476</v>
      </c>
      <c r="N5" s="589" t="s">
        <v>403</v>
      </c>
      <c r="O5" s="590"/>
      <c r="P5" s="203"/>
      <c r="Q5" s="589" t="s">
        <v>462</v>
      </c>
      <c r="R5" s="590"/>
      <c r="S5" s="199"/>
      <c r="T5" s="200">
        <f>VLOOKUP(Q5,AD14:AF17,3)</f>
        <v>7.800000000000001</v>
      </c>
      <c r="U5" s="199">
        <f>VLOOKUP(N5,$AS$3:$BB$20,8)</f>
        <v>30</v>
      </c>
      <c r="V5" s="62"/>
      <c r="W5" s="554" t="s">
        <v>302</v>
      </c>
      <c r="X5" s="555"/>
      <c r="Y5" s="555"/>
      <c r="Z5" s="555"/>
      <c r="AA5" s="556"/>
      <c r="AB5" s="371" t="s">
        <v>474</v>
      </c>
      <c r="AC5" s="371"/>
      <c r="AD5" s="373" t="s">
        <v>311</v>
      </c>
      <c r="AE5" s="373" t="s">
        <v>345</v>
      </c>
      <c r="AF5" s="373"/>
      <c r="AG5" s="371">
        <v>4</v>
      </c>
      <c r="AH5" s="373" t="s">
        <v>346</v>
      </c>
      <c r="AI5" s="373" t="s">
        <v>347</v>
      </c>
      <c r="AJ5" s="373">
        <f>D12*0.32</f>
        <v>1.92</v>
      </c>
      <c r="AK5" s="373" t="e">
        <f>#REF!*0.32</f>
        <v>#REF!</v>
      </c>
      <c r="AL5" s="373" t="s">
        <v>347</v>
      </c>
      <c r="AM5" s="373">
        <f>D7*0.32</f>
        <v>12.8</v>
      </c>
      <c r="AN5" s="373" t="e">
        <f>#REF!*0.32</f>
        <v>#REF!</v>
      </c>
      <c r="AO5" s="373" t="s">
        <v>348</v>
      </c>
      <c r="AP5" s="373" t="s">
        <v>349</v>
      </c>
      <c r="AQ5" s="373" t="s">
        <v>350</v>
      </c>
      <c r="AR5" s="371"/>
      <c r="AS5" s="371" t="s">
        <v>351</v>
      </c>
      <c r="AT5" s="372">
        <v>0</v>
      </c>
      <c r="AU5" s="372">
        <v>0</v>
      </c>
      <c r="AV5" s="372">
        <v>1</v>
      </c>
      <c r="AW5" s="372">
        <v>9</v>
      </c>
      <c r="AX5" s="372">
        <v>9</v>
      </c>
      <c r="AY5" s="380">
        <v>16</v>
      </c>
      <c r="AZ5" s="380">
        <v>70</v>
      </c>
      <c r="BA5" s="372">
        <v>7</v>
      </c>
      <c r="BB5" s="372">
        <v>7</v>
      </c>
      <c r="BC5" s="372">
        <v>7</v>
      </c>
      <c r="BD5" s="372">
        <v>7</v>
      </c>
      <c r="BE5" s="383">
        <v>0</v>
      </c>
      <c r="BF5" s="383">
        <f>BD5*0.2</f>
        <v>1.4000000000000001</v>
      </c>
      <c r="BG5" s="383" t="s">
        <v>235</v>
      </c>
      <c r="BH5" s="383" t="s">
        <v>235</v>
      </c>
      <c r="BI5" s="371" t="s">
        <v>184</v>
      </c>
      <c r="BJ5" s="371"/>
      <c r="BK5" s="371"/>
      <c r="BL5" s="371"/>
      <c r="BM5" s="371"/>
      <c r="BN5" s="371"/>
      <c r="BO5" s="371"/>
    </row>
    <row r="6" spans="1:67" ht="12.75">
      <c r="A6" s="62"/>
      <c r="B6" s="602" t="s">
        <v>314</v>
      </c>
      <c r="C6" s="603"/>
      <c r="D6" s="90">
        <f>VLOOKUP($C$3,$AS$3:$BB$20,9)</f>
        <v>6</v>
      </c>
      <c r="E6" s="67"/>
      <c r="F6" s="83" t="s">
        <v>344</v>
      </c>
      <c r="G6" s="89">
        <f>SUM(D9*(0.12*D18))</f>
        <v>0</v>
      </c>
      <c r="H6" s="89">
        <f>IF(C2=AD7,-D9*0.3,IF(C2=AD8,-D9*0.2,0))</f>
        <v>0</v>
      </c>
      <c r="I6" s="87">
        <f>IF(C27=AH22,2000,IF(C27=AH2,D9*0.1,IF(C27=AH3,D9*0.2,IF(C27=AH4,D9*0.3,IF(C27=AH5,D9*0.4,IF(C27=AH6,D9*0.5,0))))))</f>
        <v>0</v>
      </c>
      <c r="J6" s="369">
        <f>(D10+G7+H7+I7)</f>
        <v>0</v>
      </c>
      <c r="K6" s="83" t="s">
        <v>352</v>
      </c>
      <c r="L6" s="84">
        <f>IF(M6=AB7,J6,IF(M6=AB8,(J6+D10*0.07),IF(M6=AB8,(J6+D10*0.14),IF(M6=AB10,(J6+D10*0.21),IF(M6=AB11,(J6+D10*0.28),0)))))</f>
        <v>0</v>
      </c>
      <c r="M6" s="62" t="s">
        <v>477</v>
      </c>
      <c r="N6" s="589" t="s">
        <v>399</v>
      </c>
      <c r="O6" s="590"/>
      <c r="P6" s="203"/>
      <c r="Q6" s="589" t="s">
        <v>462</v>
      </c>
      <c r="R6" s="590"/>
      <c r="S6" s="199"/>
      <c r="T6" s="200">
        <f>VLOOKUP(Q6,AD19:AF22,3)</f>
        <v>6.5</v>
      </c>
      <c r="U6" s="199">
        <f>VLOOKUP(N6,$AS$3:$BB$20,8)</f>
        <v>30</v>
      </c>
      <c r="V6" s="62"/>
      <c r="W6" s="610"/>
      <c r="X6" s="611"/>
      <c r="Y6" s="611"/>
      <c r="Z6" s="611"/>
      <c r="AA6" s="612"/>
      <c r="AB6" s="379" t="s">
        <v>475</v>
      </c>
      <c r="AC6" s="371"/>
      <c r="AD6" s="373" t="s">
        <v>353</v>
      </c>
      <c r="AE6" s="373" t="s">
        <v>354</v>
      </c>
      <c r="AF6" s="373"/>
      <c r="AG6" s="371">
        <v>5</v>
      </c>
      <c r="AH6" s="371" t="s">
        <v>467</v>
      </c>
      <c r="AI6" s="373" t="s">
        <v>484</v>
      </c>
      <c r="AJ6" s="371">
        <f>D12*0.4</f>
        <v>2.4000000000000004</v>
      </c>
      <c r="AK6" s="373">
        <v>0</v>
      </c>
      <c r="AL6" s="371" t="s">
        <v>484</v>
      </c>
      <c r="AM6" s="373">
        <f>D7*0.4</f>
        <v>16</v>
      </c>
      <c r="AN6" s="373" t="e">
        <f>#REF!*0.08</f>
        <v>#REF!</v>
      </c>
      <c r="AO6" s="373" t="s">
        <v>486</v>
      </c>
      <c r="AP6" s="373" t="s">
        <v>498</v>
      </c>
      <c r="AQ6" s="373" t="s">
        <v>482</v>
      </c>
      <c r="AR6" s="371"/>
      <c r="AS6" s="371" t="s">
        <v>174</v>
      </c>
      <c r="AT6" s="372">
        <v>8</v>
      </c>
      <c r="AU6" s="372">
        <v>0</v>
      </c>
      <c r="AV6" s="372">
        <v>1</v>
      </c>
      <c r="AW6" s="380">
        <v>12</v>
      </c>
      <c r="AX6" s="380">
        <v>13</v>
      </c>
      <c r="AY6" s="372">
        <v>9</v>
      </c>
      <c r="AZ6" s="380">
        <v>70</v>
      </c>
      <c r="BA6" s="372">
        <v>5</v>
      </c>
      <c r="BB6" s="372">
        <v>7</v>
      </c>
      <c r="BC6" s="372">
        <v>7</v>
      </c>
      <c r="BD6" s="372">
        <v>0</v>
      </c>
      <c r="BE6" s="383">
        <v>0</v>
      </c>
      <c r="BF6" s="383">
        <f>-AT6*0.3</f>
        <v>-2.4</v>
      </c>
      <c r="BG6" s="383" t="s">
        <v>235</v>
      </c>
      <c r="BH6" s="383" t="s">
        <v>235</v>
      </c>
      <c r="BI6" s="371" t="s">
        <v>165</v>
      </c>
      <c r="BJ6" s="371"/>
      <c r="BK6" s="371"/>
      <c r="BL6" s="371"/>
      <c r="BM6" s="371"/>
      <c r="BN6" s="371"/>
      <c r="BO6" s="371"/>
    </row>
    <row r="7" spans="1:67" ht="12.75" customHeight="1">
      <c r="A7" s="62"/>
      <c r="B7" s="599" t="s">
        <v>329</v>
      </c>
      <c r="C7" s="600"/>
      <c r="D7" s="91">
        <f>VLOOKUP($C$3,$AS$3:$BB$20,8)</f>
        <v>40</v>
      </c>
      <c r="E7" s="67"/>
      <c r="F7" s="83" t="s">
        <v>352</v>
      </c>
      <c r="G7" s="89">
        <f>SUM(D10*(0.12*D19))</f>
        <v>0</v>
      </c>
      <c r="H7" s="89">
        <f>IF(C2=AD6,-D10*0.2,IF(C2=AD7,-D10*0.15,IF(C2=AD8,-D10*0.2,0)))</f>
        <v>0</v>
      </c>
      <c r="I7" s="87">
        <f>IF(C27=AH7,D10*0.1,IF(C27=AH8,D10*0.2,IF(C27=AH9,D10*0.3,IF(C27=AH10,D10*0.4,IF(C27=AH11,D10*0.5,0)))))</f>
        <v>0</v>
      </c>
      <c r="J7" s="370"/>
      <c r="K7" s="83" t="s">
        <v>359</v>
      </c>
      <c r="L7" s="84">
        <f>D11+G8+H8+I8</f>
        <v>0</v>
      </c>
      <c r="M7" s="62"/>
      <c r="N7" s="589" t="s">
        <v>416</v>
      </c>
      <c r="O7" s="590"/>
      <c r="P7" s="203"/>
      <c r="Q7" s="589" t="s">
        <v>463</v>
      </c>
      <c r="R7" s="590"/>
      <c r="S7" s="199"/>
      <c r="T7" s="200">
        <f>VLOOKUP(Q7,AD24:AF27,3)</f>
        <v>18.48</v>
      </c>
      <c r="U7" s="199">
        <f>VLOOKUP(N7,$AS$3:$BB$20,8)</f>
        <v>50</v>
      </c>
      <c r="V7" s="62"/>
      <c r="W7" s="516" t="s">
        <v>57</v>
      </c>
      <c r="X7" s="517"/>
      <c r="Y7" s="517"/>
      <c r="Z7" s="517"/>
      <c r="AA7" s="518"/>
      <c r="AB7" s="379" t="s">
        <v>477</v>
      </c>
      <c r="AC7" s="371"/>
      <c r="AD7" s="373" t="s">
        <v>360</v>
      </c>
      <c r="AE7" s="371" t="s">
        <v>361</v>
      </c>
      <c r="AF7" s="371"/>
      <c r="AG7" s="371"/>
      <c r="AH7" s="373" t="s">
        <v>355</v>
      </c>
      <c r="AI7" s="373" t="s">
        <v>356</v>
      </c>
      <c r="AJ7" s="373">
        <v>0</v>
      </c>
      <c r="AK7" s="373">
        <v>0</v>
      </c>
      <c r="AL7" s="373" t="s">
        <v>356</v>
      </c>
      <c r="AM7" s="373">
        <f>D7*0.8</f>
        <v>32</v>
      </c>
      <c r="AN7" s="373" t="e">
        <f>#REF!*0.16</f>
        <v>#REF!</v>
      </c>
      <c r="AO7" s="373" t="s">
        <v>357</v>
      </c>
      <c r="AP7" s="373" t="s">
        <v>358</v>
      </c>
      <c r="AQ7" s="373"/>
      <c r="AR7" s="371"/>
      <c r="AS7" s="371" t="s">
        <v>365</v>
      </c>
      <c r="AT7" s="372">
        <v>6</v>
      </c>
      <c r="AU7" s="372">
        <v>7</v>
      </c>
      <c r="AV7" s="372">
        <v>2</v>
      </c>
      <c r="AW7" s="372">
        <v>9</v>
      </c>
      <c r="AX7" s="372">
        <v>9</v>
      </c>
      <c r="AY7" s="372">
        <v>10</v>
      </c>
      <c r="AZ7" s="372">
        <v>60</v>
      </c>
      <c r="BA7" s="380">
        <v>9</v>
      </c>
      <c r="BB7" s="372">
        <v>6</v>
      </c>
      <c r="BC7" s="372">
        <v>7</v>
      </c>
      <c r="BD7" s="372">
        <v>0</v>
      </c>
      <c r="BE7" s="383">
        <f>-AT7*0.2</f>
        <v>-1.2000000000000002</v>
      </c>
      <c r="BF7" s="383">
        <f>-AT7*0.2</f>
        <v>-1.2000000000000002</v>
      </c>
      <c r="BG7" s="383">
        <f>-AU7*0.2</f>
        <v>-1.4000000000000001</v>
      </c>
      <c r="BH7" s="383">
        <f>-AU7*0.2</f>
        <v>-1.4000000000000001</v>
      </c>
      <c r="BI7" s="371" t="s">
        <v>180</v>
      </c>
      <c r="BJ7" s="371"/>
      <c r="BK7" s="371"/>
      <c r="BL7" s="371"/>
      <c r="BM7" s="371"/>
      <c r="BN7" s="371"/>
      <c r="BO7" s="371"/>
    </row>
    <row r="8" spans="1:67" ht="12.75">
      <c r="A8" s="62"/>
      <c r="B8" s="602" t="s">
        <v>366</v>
      </c>
      <c r="C8" s="603"/>
      <c r="D8" s="91">
        <f>VLOOKUP($C$3,$AS$3:$BB$20,4)</f>
        <v>1</v>
      </c>
      <c r="E8" s="67"/>
      <c r="F8" s="83" t="s">
        <v>359</v>
      </c>
      <c r="G8" s="89">
        <f>IF(D23&gt;D24,D23,D24)</f>
        <v>0</v>
      </c>
      <c r="H8" s="89">
        <f>IF(C2=AD6,-D11*0.4,0)</f>
        <v>0</v>
      </c>
      <c r="I8" s="87">
        <f>IF(C27=AH12,D11*0.12,IF(C27=AH13,D11*0.24,IF(C27=AH14,D11*0.36,IF(C27=AH15,D11*0.48,IF(C27=AH16,D11*0.6,0)))))</f>
        <v>0</v>
      </c>
      <c r="J8" s="370">
        <f>(D12+G9+H9+I9)</f>
        <v>14.28</v>
      </c>
      <c r="K8" s="83" t="s">
        <v>367</v>
      </c>
      <c r="L8" s="84">
        <f>IF(M8=AB17,J8,IF(M8=AB18,(J8+D12*0.07),IF(M8=AB19,(J8+D12*0.14),IF(M8=AB20,(J8+D12*0.21),IF(M8=AB21,(J8+D12*0.28),0)))))</f>
        <v>14.28</v>
      </c>
      <c r="M8" s="62" t="s">
        <v>493</v>
      </c>
      <c r="N8" s="589" t="s">
        <v>410</v>
      </c>
      <c r="O8" s="590"/>
      <c r="P8" s="203"/>
      <c r="Q8" s="589" t="s">
        <v>462</v>
      </c>
      <c r="R8" s="590"/>
      <c r="S8" s="199"/>
      <c r="T8" s="200">
        <f>VLOOKUP(Q8,AD29:AF32,3)</f>
        <v>11.700000000000001</v>
      </c>
      <c r="U8" s="199">
        <f>VLOOKUP(N8,$AS$3:$BB$20,8)</f>
        <v>50</v>
      </c>
      <c r="V8" s="62"/>
      <c r="W8" s="519"/>
      <c r="X8" s="520"/>
      <c r="Y8" s="520"/>
      <c r="Z8" s="520"/>
      <c r="AA8" s="521"/>
      <c r="AB8" s="379" t="s">
        <v>478</v>
      </c>
      <c r="AC8" s="371"/>
      <c r="AD8" s="373" t="s">
        <v>368</v>
      </c>
      <c r="AE8" s="371" t="s">
        <v>369</v>
      </c>
      <c r="AF8" s="371"/>
      <c r="AG8" s="371"/>
      <c r="AH8" s="373" t="s">
        <v>362</v>
      </c>
      <c r="AI8" s="373" t="s">
        <v>363</v>
      </c>
      <c r="AJ8" s="373">
        <v>0</v>
      </c>
      <c r="AK8" s="373">
        <v>0</v>
      </c>
      <c r="AL8" s="373" t="s">
        <v>363</v>
      </c>
      <c r="AM8" s="373">
        <f>D7*0.16</f>
        <v>6.4</v>
      </c>
      <c r="AN8" s="373" t="e">
        <f>#REF!*0.24</f>
        <v>#REF!</v>
      </c>
      <c r="AO8" s="373" t="s">
        <v>364</v>
      </c>
      <c r="AP8" s="373"/>
      <c r="AQ8" s="373"/>
      <c r="AR8" s="371"/>
      <c r="AS8" s="371" t="s">
        <v>168</v>
      </c>
      <c r="AT8" s="372">
        <v>4</v>
      </c>
      <c r="AU8" s="372">
        <v>6</v>
      </c>
      <c r="AV8" s="380">
        <v>3</v>
      </c>
      <c r="AW8" s="372">
        <v>5</v>
      </c>
      <c r="AX8" s="372">
        <v>8</v>
      </c>
      <c r="AY8" s="372">
        <v>10</v>
      </c>
      <c r="AZ8" s="372">
        <v>40</v>
      </c>
      <c r="BA8" s="372">
        <v>7</v>
      </c>
      <c r="BB8" s="372">
        <v>10</v>
      </c>
      <c r="BC8" s="372">
        <v>7</v>
      </c>
      <c r="BD8" s="372">
        <v>0</v>
      </c>
      <c r="BE8" s="383">
        <f>-AT8*0.2</f>
        <v>-0.8</v>
      </c>
      <c r="BF8" s="383">
        <f>-AT8*0.3</f>
        <v>-1.2</v>
      </c>
      <c r="BG8" s="383">
        <f>-AU8*0.2</f>
        <v>-1.2000000000000002</v>
      </c>
      <c r="BH8" s="383">
        <f>-AU8*0.3</f>
        <v>-1.7999999999999998</v>
      </c>
      <c r="BI8" s="371" t="s">
        <v>169</v>
      </c>
      <c r="BJ8" s="371"/>
      <c r="BK8" s="371"/>
      <c r="BL8" s="371"/>
      <c r="BM8" s="371"/>
      <c r="BN8" s="371"/>
      <c r="BO8" s="371"/>
    </row>
    <row r="9" spans="1:67" ht="13.5" thickBot="1">
      <c r="A9" s="62"/>
      <c r="B9" s="599" t="s">
        <v>373</v>
      </c>
      <c r="C9" s="600"/>
      <c r="D9" s="91">
        <f>VLOOKUP($C$3,$AS$3:$BB$20,2)</f>
        <v>5</v>
      </c>
      <c r="E9" s="67"/>
      <c r="F9" s="83" t="s">
        <v>367</v>
      </c>
      <c r="G9" s="89">
        <f>SUM(D12*(0.12*D20))</f>
        <v>2.88</v>
      </c>
      <c r="H9" s="89">
        <f>IF(C2=AD7,-D12*0.3,0)</f>
        <v>0</v>
      </c>
      <c r="I9" s="87">
        <f>(AJ18+AJ19)</f>
        <v>5.4</v>
      </c>
      <c r="J9" s="370">
        <f>(D13+G10+H10+I10)</f>
        <v>14.28</v>
      </c>
      <c r="K9" s="83" t="s">
        <v>374</v>
      </c>
      <c r="L9" s="84">
        <f>IF(M8=AB17,J9,IF(M8=AB18,(J9+D13*0.07),IF(M8=AB19,(J9+D13*0.14),IF(M8=AB20,(J9+D13*0.21),IF(M8=AB21,(J9+D13*0.28),0)))))</f>
        <v>14.28</v>
      </c>
      <c r="M9" s="62"/>
      <c r="N9" s="92" t="str">
        <f>IF(R11&gt;333,"ОШИБКА! Максимальные НР в игре 130!",IF(R10&gt;50,"ОШИБКА! Максимальная защита в игре 50!",IF(R12&lt;0,"ОШИБКА! Количество солдат не может быть меньше 0!",IF(R12&gt;150,"ОШИБКА! Максимальное количество солдат в игре 150!"," "))))</f>
        <v> </v>
      </c>
      <c r="O9" s="62"/>
      <c r="P9" s="62"/>
      <c r="Q9" s="62"/>
      <c r="R9" s="62"/>
      <c r="S9" s="62"/>
      <c r="T9" s="62"/>
      <c r="U9" s="62"/>
      <c r="V9" s="62"/>
      <c r="W9" s="519"/>
      <c r="X9" s="520"/>
      <c r="Y9" s="520"/>
      <c r="Z9" s="520"/>
      <c r="AA9" s="521"/>
      <c r="AB9" s="379" t="s">
        <v>479</v>
      </c>
      <c r="AC9" s="371"/>
      <c r="AD9" s="373" t="s">
        <v>375</v>
      </c>
      <c r="AE9" s="371" t="s">
        <v>376</v>
      </c>
      <c r="AF9" s="371"/>
      <c r="AG9" s="371"/>
      <c r="AH9" s="373" t="s">
        <v>370</v>
      </c>
      <c r="AI9" s="373" t="s">
        <v>371</v>
      </c>
      <c r="AJ9" s="373">
        <v>0</v>
      </c>
      <c r="AK9" s="373">
        <v>0</v>
      </c>
      <c r="AL9" s="373" t="s">
        <v>371</v>
      </c>
      <c r="AM9" s="373">
        <f>D7*0.24</f>
        <v>9.6</v>
      </c>
      <c r="AN9" s="373" t="e">
        <f>#REF!*0.32</f>
        <v>#REF!</v>
      </c>
      <c r="AO9" s="373" t="s">
        <v>372</v>
      </c>
      <c r="AP9" s="373"/>
      <c r="AQ9" s="373"/>
      <c r="AR9" s="371"/>
      <c r="AS9" s="371" t="s">
        <v>178</v>
      </c>
      <c r="AT9" s="372">
        <v>0</v>
      </c>
      <c r="AU9" s="372">
        <v>0</v>
      </c>
      <c r="AV9" s="372">
        <v>2</v>
      </c>
      <c r="AW9" s="372">
        <v>9</v>
      </c>
      <c r="AX9" s="372">
        <v>12</v>
      </c>
      <c r="AY9" s="380">
        <v>15</v>
      </c>
      <c r="AZ9" s="372">
        <v>50</v>
      </c>
      <c r="BA9" s="372">
        <v>8</v>
      </c>
      <c r="BB9" s="372">
        <v>5</v>
      </c>
      <c r="BC9" s="372">
        <v>7</v>
      </c>
      <c r="BD9" s="372">
        <v>7</v>
      </c>
      <c r="BE9" s="383">
        <v>0</v>
      </c>
      <c r="BF9" s="383">
        <v>0</v>
      </c>
      <c r="BG9" s="383">
        <v>0</v>
      </c>
      <c r="BH9" s="383">
        <v>0</v>
      </c>
      <c r="BI9" s="371"/>
      <c r="BJ9" s="371"/>
      <c r="BK9" s="371"/>
      <c r="BL9" s="371"/>
      <c r="BM9" s="371"/>
      <c r="BN9" s="371"/>
      <c r="BO9" s="371"/>
    </row>
    <row r="10" spans="1:67" ht="15.75">
      <c r="A10" s="62"/>
      <c r="B10" s="599" t="s">
        <v>380</v>
      </c>
      <c r="C10" s="600"/>
      <c r="D10" s="91">
        <f>VLOOKUP($C$3,$AS$3:$BB$20,3)</f>
        <v>0</v>
      </c>
      <c r="E10" s="67"/>
      <c r="F10" s="83" t="s">
        <v>374</v>
      </c>
      <c r="G10" s="89">
        <f>SUM(D13*(0.12*D20))</f>
        <v>2.88</v>
      </c>
      <c r="H10" s="89">
        <v>0</v>
      </c>
      <c r="I10" s="87">
        <f>SUM(AJ37:AJ38)</f>
        <v>5.4</v>
      </c>
      <c r="J10" s="370"/>
      <c r="K10" s="83" t="s">
        <v>381</v>
      </c>
      <c r="L10" s="84">
        <f>(D14+G11+H11+I11)</f>
        <v>26.759999999999998</v>
      </c>
      <c r="M10" s="62"/>
      <c r="N10" s="93" t="s">
        <v>382</v>
      </c>
      <c r="O10" s="94"/>
      <c r="P10" s="95"/>
      <c r="Q10" s="94"/>
      <c r="R10" s="96">
        <v>22</v>
      </c>
      <c r="S10" s="97" t="str">
        <f>IF(R10&gt;50,"Ошибка!"," ")</f>
        <v> </v>
      </c>
      <c r="T10" s="97"/>
      <c r="U10" s="97"/>
      <c r="V10" s="97"/>
      <c r="W10" s="519"/>
      <c r="X10" s="520"/>
      <c r="Y10" s="520"/>
      <c r="Z10" s="520"/>
      <c r="AA10" s="521"/>
      <c r="AB10" s="379" t="s">
        <v>480</v>
      </c>
      <c r="AC10" s="371"/>
      <c r="AD10" s="373" t="s">
        <v>383</v>
      </c>
      <c r="AE10" s="371" t="s">
        <v>384</v>
      </c>
      <c r="AF10" s="371"/>
      <c r="AG10" s="371"/>
      <c r="AH10" s="373" t="s">
        <v>377</v>
      </c>
      <c r="AI10" s="373" t="s">
        <v>378</v>
      </c>
      <c r="AJ10" s="373">
        <v>0</v>
      </c>
      <c r="AK10" s="373">
        <v>0</v>
      </c>
      <c r="AL10" s="373" t="s">
        <v>378</v>
      </c>
      <c r="AM10" s="373">
        <f>D7*0.32</f>
        <v>12.8</v>
      </c>
      <c r="AN10" s="373"/>
      <c r="AO10" s="373" t="s">
        <v>379</v>
      </c>
      <c r="AP10" s="373"/>
      <c r="AQ10" s="373"/>
      <c r="AR10" s="371"/>
      <c r="AS10" s="371" t="s">
        <v>172</v>
      </c>
      <c r="AT10" s="380">
        <v>12</v>
      </c>
      <c r="AU10" s="372">
        <v>0</v>
      </c>
      <c r="AV10" s="372">
        <v>1</v>
      </c>
      <c r="AW10" s="372">
        <v>9</v>
      </c>
      <c r="AX10" s="372">
        <v>8</v>
      </c>
      <c r="AY10" s="372">
        <v>10</v>
      </c>
      <c r="AZ10" s="372">
        <v>50</v>
      </c>
      <c r="BA10" s="372">
        <v>7</v>
      </c>
      <c r="BB10" s="372">
        <v>7</v>
      </c>
      <c r="BC10" s="372">
        <v>7</v>
      </c>
      <c r="BD10" s="372">
        <v>0</v>
      </c>
      <c r="BE10" s="383">
        <v>0</v>
      </c>
      <c r="BF10" s="383">
        <v>0</v>
      </c>
      <c r="BG10" s="383" t="s">
        <v>235</v>
      </c>
      <c r="BH10" s="383" t="s">
        <v>235</v>
      </c>
      <c r="BI10" s="371" t="s">
        <v>173</v>
      </c>
      <c r="BJ10" s="371"/>
      <c r="BK10" s="371"/>
      <c r="BL10" s="371"/>
      <c r="BM10" s="371"/>
      <c r="BN10" s="371"/>
      <c r="BO10" s="371"/>
    </row>
    <row r="11" spans="1:67" ht="16.5" thickBot="1">
      <c r="A11" s="62"/>
      <c r="B11" s="366" t="s">
        <v>386</v>
      </c>
      <c r="C11" s="367"/>
      <c r="D11" s="91">
        <f>VLOOKUP(C3,AS3:BD20,12)</f>
        <v>0</v>
      </c>
      <c r="E11" s="67"/>
      <c r="F11" s="83" t="s">
        <v>381</v>
      </c>
      <c r="G11" s="89">
        <f>SUM(D14*(0.12*D20))</f>
        <v>5.76</v>
      </c>
      <c r="H11" s="89">
        <f>IF(C2=AD6,D14*0.3,0)</f>
        <v>0</v>
      </c>
      <c r="I11" s="87">
        <f>IF(C32=AQ2,D14*0.15,IF(C32=AQ3,D14*0.3,IF(C32=AQ4,D14*0.45,IF(C32=AQ5,D14*0.6,IF(C32=AQ6,D14*0.75,0)))))</f>
        <v>9</v>
      </c>
      <c r="J11" s="71"/>
      <c r="K11" s="98" t="s">
        <v>387</v>
      </c>
      <c r="L11" s="99">
        <f>IF((IF(G14&lt;=1,AE2,IF(G14&gt;2,AE4,AE3))+H12+I12)&lt;1,1,(IF(G14&lt;=1,AE2,IF(G14&gt;2,AE4,AE3))+H12+I12))</f>
        <v>7</v>
      </c>
      <c r="M11" s="62"/>
      <c r="N11" s="78" t="s">
        <v>388</v>
      </c>
      <c r="O11" s="100"/>
      <c r="P11" s="100"/>
      <c r="Q11" s="100"/>
      <c r="R11" s="101">
        <v>200</v>
      </c>
      <c r="S11" s="97" t="str">
        <f>IF(R11&gt;330,"Ошибка!"," ")</f>
        <v> </v>
      </c>
      <c r="T11" s="97"/>
      <c r="U11" s="97"/>
      <c r="V11" s="97"/>
      <c r="W11" s="519"/>
      <c r="X11" s="520"/>
      <c r="Y11" s="520"/>
      <c r="Z11" s="520"/>
      <c r="AA11" s="521"/>
      <c r="AB11" s="379" t="s">
        <v>481</v>
      </c>
      <c r="AC11" s="371"/>
      <c r="AD11" s="373" t="s">
        <v>389</v>
      </c>
      <c r="AE11" s="371" t="s">
        <v>390</v>
      </c>
      <c r="AF11" s="371"/>
      <c r="AG11" s="371"/>
      <c r="AH11" s="371" t="s">
        <v>468</v>
      </c>
      <c r="AI11" s="373" t="s">
        <v>483</v>
      </c>
      <c r="AJ11" s="371">
        <v>0</v>
      </c>
      <c r="AK11" s="373" t="e">
        <f>#REF!*0.1</f>
        <v>#REF!</v>
      </c>
      <c r="AL11" s="373" t="s">
        <v>483</v>
      </c>
      <c r="AM11" s="373">
        <f>D7*0.4</f>
        <v>16</v>
      </c>
      <c r="AN11" s="373"/>
      <c r="AO11" s="373" t="s">
        <v>487</v>
      </c>
      <c r="AP11" s="373"/>
      <c r="AQ11" s="373"/>
      <c r="AR11" s="371"/>
      <c r="AS11" s="371" t="s">
        <v>163</v>
      </c>
      <c r="AT11" s="372">
        <v>6</v>
      </c>
      <c r="AU11" s="372">
        <v>0</v>
      </c>
      <c r="AV11" s="372">
        <v>1</v>
      </c>
      <c r="AW11" s="372">
        <v>5</v>
      </c>
      <c r="AX11" s="372">
        <v>5</v>
      </c>
      <c r="AY11" s="372">
        <v>10</v>
      </c>
      <c r="AZ11" s="372">
        <v>30</v>
      </c>
      <c r="BA11" s="372">
        <v>6</v>
      </c>
      <c r="BB11" s="380">
        <v>15</v>
      </c>
      <c r="BC11" s="372">
        <v>7</v>
      </c>
      <c r="BD11" s="372">
        <v>0</v>
      </c>
      <c r="BE11" s="383">
        <v>0</v>
      </c>
      <c r="BF11" s="383">
        <f>-AT11*0.3</f>
        <v>-1.7999999999999998</v>
      </c>
      <c r="BG11" s="383" t="s">
        <v>235</v>
      </c>
      <c r="BH11" s="383" t="s">
        <v>235</v>
      </c>
      <c r="BI11" s="371" t="s">
        <v>165</v>
      </c>
      <c r="BJ11" s="371"/>
      <c r="BK11" s="371"/>
      <c r="BL11" s="371"/>
      <c r="BM11" s="371"/>
      <c r="BN11" s="371"/>
      <c r="BO11" s="371"/>
    </row>
    <row r="12" spans="1:67" ht="16.5" thickBot="1">
      <c r="A12" s="62"/>
      <c r="B12" s="599" t="s">
        <v>393</v>
      </c>
      <c r="C12" s="600"/>
      <c r="D12" s="91">
        <f>VLOOKUP($C$3,$AS$3:$BB$20,5)</f>
        <v>6</v>
      </c>
      <c r="E12" s="62"/>
      <c r="F12" s="102" t="s">
        <v>387</v>
      </c>
      <c r="G12" s="103">
        <f>IF(D25=1,-1,IF(D25=2,-2,IF(D25=3,-3,IF(D25=4,-4,0))))</f>
        <v>0</v>
      </c>
      <c r="H12" s="103">
        <f>IF(C2=AD9,-1,0)</f>
        <v>0</v>
      </c>
      <c r="I12" s="104">
        <f>IF(C30=AO7,-1,IF(C30=AO8,-2,IF(C30=AO9,-3,IF(C30=AO10,-4,IF(C30=AO11,-5,0)))))</f>
        <v>0</v>
      </c>
      <c r="J12" s="62"/>
      <c r="K12" s="98" t="s">
        <v>394</v>
      </c>
      <c r="L12" s="105">
        <f>(D4*L3)</f>
        <v>1280</v>
      </c>
      <c r="M12" s="62"/>
      <c r="N12" s="106" t="s">
        <v>395</v>
      </c>
      <c r="O12" s="107"/>
      <c r="P12" s="107"/>
      <c r="Q12" s="107"/>
      <c r="R12" s="108">
        <v>56</v>
      </c>
      <c r="S12" s="97" t="str">
        <f>IF(R12&gt;150,"Ошибка!"," ")</f>
        <v> </v>
      </c>
      <c r="T12" s="97"/>
      <c r="U12" s="97"/>
      <c r="V12" s="97"/>
      <c r="W12" s="519"/>
      <c r="X12" s="520"/>
      <c r="Y12" s="520"/>
      <c r="Z12" s="520"/>
      <c r="AA12" s="521"/>
      <c r="AB12" s="379" t="s">
        <v>488</v>
      </c>
      <c r="AC12" s="371"/>
      <c r="AD12" s="371"/>
      <c r="AE12" s="371" t="s">
        <v>396</v>
      </c>
      <c r="AF12" s="371"/>
      <c r="AG12" s="371"/>
      <c r="AH12" s="373" t="s">
        <v>385</v>
      </c>
      <c r="AI12" s="373" t="s">
        <v>235</v>
      </c>
      <c r="AJ12" s="373">
        <v>0</v>
      </c>
      <c r="AK12" s="373" t="e">
        <f>#REF!*0.2</f>
        <v>#REF!</v>
      </c>
      <c r="AL12" s="373"/>
      <c r="AM12" s="371"/>
      <c r="AN12" s="371"/>
      <c r="AO12" s="371"/>
      <c r="AP12" s="371"/>
      <c r="AQ12" s="373"/>
      <c r="AR12" s="371"/>
      <c r="AS12" s="371" t="s">
        <v>399</v>
      </c>
      <c r="AT12" s="372">
        <v>4</v>
      </c>
      <c r="AU12" s="372">
        <v>7</v>
      </c>
      <c r="AV12" s="372">
        <v>2</v>
      </c>
      <c r="AW12" s="372">
        <v>5</v>
      </c>
      <c r="AX12" s="372">
        <v>10</v>
      </c>
      <c r="AY12" s="380">
        <v>14</v>
      </c>
      <c r="AZ12" s="372">
        <v>30</v>
      </c>
      <c r="BA12" s="372">
        <v>8</v>
      </c>
      <c r="BB12" s="372">
        <v>10</v>
      </c>
      <c r="BC12" s="372">
        <v>7</v>
      </c>
      <c r="BD12" s="372">
        <v>0</v>
      </c>
      <c r="BE12" s="383">
        <f>-AT12*0.2</f>
        <v>-0.8</v>
      </c>
      <c r="BF12" s="383">
        <f>-AT12*0.3</f>
        <v>-1.2</v>
      </c>
      <c r="BG12" s="383">
        <f>-AU12*0.2</f>
        <v>-1.4000000000000001</v>
      </c>
      <c r="BH12" s="383">
        <f>-AU12*0.3</f>
        <v>-2.1</v>
      </c>
      <c r="BI12" s="371" t="s">
        <v>192</v>
      </c>
      <c r="BJ12" s="371"/>
      <c r="BK12" s="371"/>
      <c r="BL12" s="371"/>
      <c r="BM12" s="371"/>
      <c r="BN12" s="371"/>
      <c r="BO12" s="371"/>
    </row>
    <row r="13" spans="1:67" ht="15" thickBot="1">
      <c r="A13" s="62"/>
      <c r="B13" s="602" t="s">
        <v>400</v>
      </c>
      <c r="C13" s="603"/>
      <c r="D13" s="91">
        <f>VLOOKUP($C$3,$AS$3:$BB$20,6)</f>
        <v>6</v>
      </c>
      <c r="E13" s="62"/>
      <c r="F13" s="604"/>
      <c r="G13" s="604"/>
      <c r="H13" s="604"/>
      <c r="I13" s="604"/>
      <c r="J13" s="604"/>
      <c r="K13" s="604"/>
      <c r="L13" s="604"/>
      <c r="M13" s="604"/>
      <c r="N13" s="604"/>
      <c r="O13" s="604"/>
      <c r="P13" s="604"/>
      <c r="Q13" s="604"/>
      <c r="R13" s="604"/>
      <c r="S13" s="62"/>
      <c r="T13" s="62"/>
      <c r="U13" s="62"/>
      <c r="V13" s="62"/>
      <c r="W13" s="519"/>
      <c r="X13" s="520"/>
      <c r="Y13" s="520"/>
      <c r="Z13" s="520"/>
      <c r="AA13" s="521"/>
      <c r="AB13" s="379" t="s">
        <v>489</v>
      </c>
      <c r="AC13" s="371"/>
      <c r="AD13" s="371"/>
      <c r="AE13" s="371"/>
      <c r="AF13" s="371"/>
      <c r="AG13" s="371"/>
      <c r="AH13" s="373" t="s">
        <v>391</v>
      </c>
      <c r="AI13" s="373" t="s">
        <v>392</v>
      </c>
      <c r="AJ13" s="373">
        <f>D12*0.1</f>
        <v>0.6000000000000001</v>
      </c>
      <c r="AK13" s="373" t="e">
        <f>#REF!*0.3</f>
        <v>#REF!</v>
      </c>
      <c r="AL13" s="373"/>
      <c r="AM13" s="379"/>
      <c r="AN13" s="379"/>
      <c r="AO13" s="379"/>
      <c r="AP13" s="379"/>
      <c r="AQ13" s="373"/>
      <c r="AR13" s="371"/>
      <c r="AS13" s="371" t="s">
        <v>403</v>
      </c>
      <c r="AT13" s="372">
        <v>5</v>
      </c>
      <c r="AU13" s="372">
        <v>0</v>
      </c>
      <c r="AV13" s="372">
        <v>1</v>
      </c>
      <c r="AW13" s="372">
        <v>6</v>
      </c>
      <c r="AX13" s="372">
        <v>15</v>
      </c>
      <c r="AY13" s="380">
        <v>16</v>
      </c>
      <c r="AZ13" s="372">
        <v>30</v>
      </c>
      <c r="BA13" s="372">
        <v>7</v>
      </c>
      <c r="BB13" s="380">
        <v>15</v>
      </c>
      <c r="BC13" s="372">
        <v>7</v>
      </c>
      <c r="BD13" s="372">
        <v>0</v>
      </c>
      <c r="BE13" s="383">
        <v>0</v>
      </c>
      <c r="BF13" s="383">
        <f>-AT13*0.3</f>
        <v>-1.5</v>
      </c>
      <c r="BG13" s="383" t="s">
        <v>235</v>
      </c>
      <c r="BH13" s="383" t="s">
        <v>235</v>
      </c>
      <c r="BI13" s="371" t="s">
        <v>165</v>
      </c>
      <c r="BJ13" s="371"/>
      <c r="BK13" s="371"/>
      <c r="BL13" s="371"/>
      <c r="BM13" s="371"/>
      <c r="BN13" s="371"/>
      <c r="BO13" s="371"/>
    </row>
    <row r="14" spans="1:67" ht="13.5" customHeight="1" thickBot="1">
      <c r="A14" s="62"/>
      <c r="B14" s="599" t="s">
        <v>404</v>
      </c>
      <c r="C14" s="600"/>
      <c r="D14" s="91">
        <f>VLOOKUP($C$3,$AS$3:$BB$20,7)</f>
        <v>12</v>
      </c>
      <c r="E14" s="67"/>
      <c r="F14" s="74" t="s">
        <v>315</v>
      </c>
      <c r="G14" s="75">
        <f>SUM(D4/D16)</f>
        <v>1.3333333333333333</v>
      </c>
      <c r="H14" s="76" t="s">
        <v>316</v>
      </c>
      <c r="I14" s="77">
        <f>IF(C2=AD6,6+D22,IF(C2=AD9,2+D22,4+D22))</f>
        <v>4</v>
      </c>
      <c r="J14" s="62"/>
      <c r="K14" s="62"/>
      <c r="L14" s="62"/>
      <c r="M14" s="62"/>
      <c r="N14" s="62"/>
      <c r="O14" s="62"/>
      <c r="P14" s="62"/>
      <c r="Q14" s="62"/>
      <c r="R14" s="62"/>
      <c r="S14" s="62"/>
      <c r="T14" s="62"/>
      <c r="U14" s="62"/>
      <c r="V14" s="62"/>
      <c r="W14" s="519"/>
      <c r="X14" s="520"/>
      <c r="Y14" s="520"/>
      <c r="Z14" s="520"/>
      <c r="AA14" s="521"/>
      <c r="AB14" s="379" t="s">
        <v>491</v>
      </c>
      <c r="AC14" s="371" t="s">
        <v>461</v>
      </c>
      <c r="AD14" s="371" t="s">
        <v>461</v>
      </c>
      <c r="AE14" s="381"/>
      <c r="AF14" s="381">
        <f>VLOOKUP(N5,$AS$3:$BB$20,5)</f>
        <v>6</v>
      </c>
      <c r="AG14" s="371"/>
      <c r="AH14" s="373" t="s">
        <v>397</v>
      </c>
      <c r="AI14" s="373" t="s">
        <v>398</v>
      </c>
      <c r="AJ14" s="373">
        <f>D12*0.2</f>
        <v>1.2000000000000002</v>
      </c>
      <c r="AK14" s="373" t="e">
        <f>#REF!*0.4</f>
        <v>#REF!</v>
      </c>
      <c r="AL14" s="373"/>
      <c r="AM14" s="379"/>
      <c r="AN14" s="379"/>
      <c r="AO14" s="379"/>
      <c r="AP14" s="379"/>
      <c r="AQ14" s="373"/>
      <c r="AR14" s="371"/>
      <c r="AS14" s="371" t="s">
        <v>410</v>
      </c>
      <c r="AT14" s="372">
        <v>7</v>
      </c>
      <c r="AU14" s="372">
        <v>7</v>
      </c>
      <c r="AV14" s="372">
        <v>2</v>
      </c>
      <c r="AW14" s="372">
        <v>9</v>
      </c>
      <c r="AX14" s="372">
        <v>12</v>
      </c>
      <c r="AY14" s="380">
        <v>15</v>
      </c>
      <c r="AZ14" s="372">
        <v>50</v>
      </c>
      <c r="BA14" s="372">
        <v>8</v>
      </c>
      <c r="BB14" s="372">
        <v>5</v>
      </c>
      <c r="BC14" s="372">
        <v>7</v>
      </c>
      <c r="BD14" s="372">
        <v>7</v>
      </c>
      <c r="BE14" s="383">
        <v>0</v>
      </c>
      <c r="BF14" s="383">
        <v>0</v>
      </c>
      <c r="BG14" s="383">
        <v>0</v>
      </c>
      <c r="BH14" s="383">
        <v>0</v>
      </c>
      <c r="BI14" s="371"/>
      <c r="BJ14" s="371"/>
      <c r="BK14" s="371"/>
      <c r="BL14" s="371"/>
      <c r="BM14" s="371"/>
      <c r="BN14" s="371"/>
      <c r="BO14" s="371"/>
    </row>
    <row r="15" spans="1:67" ht="15.75" customHeight="1" thickBot="1">
      <c r="A15" s="62"/>
      <c r="B15" s="599" t="s">
        <v>387</v>
      </c>
      <c r="C15" s="600"/>
      <c r="D15" s="91">
        <f>VLOOKUP($C$3,$AS$3:$BC$20,11)</f>
        <v>7</v>
      </c>
      <c r="E15" s="67"/>
      <c r="F15" s="92"/>
      <c r="G15" s="62"/>
      <c r="H15" s="62"/>
      <c r="I15" s="62"/>
      <c r="J15" s="62"/>
      <c r="K15" s="62"/>
      <c r="L15" s="62"/>
      <c r="M15" s="62"/>
      <c r="N15" s="62"/>
      <c r="O15" s="62"/>
      <c r="P15" s="62"/>
      <c r="Q15" s="62"/>
      <c r="R15" s="62"/>
      <c r="S15" s="62"/>
      <c r="T15" s="62"/>
      <c r="U15" s="62"/>
      <c r="V15" s="62"/>
      <c r="W15" s="519"/>
      <c r="X15" s="520"/>
      <c r="Y15" s="520"/>
      <c r="Z15" s="520"/>
      <c r="AA15" s="521"/>
      <c r="AB15" s="379" t="s">
        <v>490</v>
      </c>
      <c r="AC15" s="371" t="s">
        <v>462</v>
      </c>
      <c r="AD15" s="371" t="s">
        <v>464</v>
      </c>
      <c r="AE15" s="381">
        <v>1.72</v>
      </c>
      <c r="AF15" s="381">
        <f>VLOOKUP(N5,$AS$3:$BB$20,5)*AE15</f>
        <v>10.32</v>
      </c>
      <c r="AG15" s="371"/>
      <c r="AH15" s="373" t="s">
        <v>401</v>
      </c>
      <c r="AI15" s="373" t="s">
        <v>402</v>
      </c>
      <c r="AJ15" s="373">
        <f>D12*0.3</f>
        <v>1.7999999999999998</v>
      </c>
      <c r="AK15" s="371" t="e">
        <f>VLOOKUP(#REF!,AI2:AK10,3)</f>
        <v>#REF!</v>
      </c>
      <c r="AL15" s="373"/>
      <c r="AM15" s="379"/>
      <c r="AN15" s="379"/>
      <c r="AO15" s="379"/>
      <c r="AP15" s="379"/>
      <c r="AQ15" s="373"/>
      <c r="AR15" s="371"/>
      <c r="AS15" s="371" t="s">
        <v>416</v>
      </c>
      <c r="AT15" s="380">
        <v>11</v>
      </c>
      <c r="AU15" s="372">
        <v>0</v>
      </c>
      <c r="AV15" s="372">
        <v>1</v>
      </c>
      <c r="AW15" s="380">
        <v>12</v>
      </c>
      <c r="AX15" s="380">
        <v>22</v>
      </c>
      <c r="AY15" s="380">
        <v>16</v>
      </c>
      <c r="AZ15" s="372">
        <v>50</v>
      </c>
      <c r="BA15" s="372">
        <v>7</v>
      </c>
      <c r="BB15" s="372">
        <v>7</v>
      </c>
      <c r="BC15" s="372">
        <v>7</v>
      </c>
      <c r="BD15" s="372">
        <v>0</v>
      </c>
      <c r="BE15" s="383">
        <v>0</v>
      </c>
      <c r="BF15" s="383">
        <v>0</v>
      </c>
      <c r="BG15" s="383" t="s">
        <v>235</v>
      </c>
      <c r="BH15" s="383" t="s">
        <v>235</v>
      </c>
      <c r="BI15" s="371"/>
      <c r="BJ15" s="371"/>
      <c r="BK15" s="371"/>
      <c r="BL15" s="371"/>
      <c r="BM15" s="371"/>
      <c r="BN15" s="371"/>
      <c r="BO15" s="371"/>
    </row>
    <row r="16" spans="1:67" ht="12.75" customHeight="1" thickBot="1">
      <c r="A16" s="62"/>
      <c r="B16" s="178" t="s">
        <v>417</v>
      </c>
      <c r="C16" s="179"/>
      <c r="D16" s="117">
        <f>VLOOKUP($C$3,$AS$3:$BB$20,10)</f>
        <v>15</v>
      </c>
      <c r="E16" s="62"/>
      <c r="F16" s="109" t="s">
        <v>405</v>
      </c>
      <c r="G16" s="95"/>
      <c r="H16" s="110"/>
      <c r="I16" s="110"/>
      <c r="J16" s="110"/>
      <c r="K16" s="597" t="s">
        <v>406</v>
      </c>
      <c r="L16" s="597"/>
      <c r="M16" s="597"/>
      <c r="N16" s="94"/>
      <c r="O16" s="111" t="s">
        <v>407</v>
      </c>
      <c r="P16" s="112"/>
      <c r="Q16" s="113"/>
      <c r="R16" s="62"/>
      <c r="S16" s="62"/>
      <c r="T16" s="62"/>
      <c r="U16" s="62"/>
      <c r="V16" s="62"/>
      <c r="W16" s="519"/>
      <c r="X16" s="520"/>
      <c r="Y16" s="520"/>
      <c r="Z16" s="520"/>
      <c r="AA16" s="521"/>
      <c r="AB16" s="379" t="s">
        <v>492</v>
      </c>
      <c r="AC16" s="371" t="s">
        <v>463</v>
      </c>
      <c r="AD16" s="371" t="s">
        <v>462</v>
      </c>
      <c r="AE16" s="381">
        <v>1.3</v>
      </c>
      <c r="AF16" s="381">
        <f>VLOOKUP(N5,$AS$3:$BB$20,5)*AE16</f>
        <v>7.800000000000001</v>
      </c>
      <c r="AG16" s="371"/>
      <c r="AH16" s="371" t="s">
        <v>470</v>
      </c>
      <c r="AI16" s="373" t="s">
        <v>409</v>
      </c>
      <c r="AJ16" s="373">
        <f>D12*0.4</f>
        <v>2.4000000000000004</v>
      </c>
      <c r="AK16" s="371" t="e">
        <f>VLOOKUP(#REF!,AI10:AK14,3)</f>
        <v>#REF!</v>
      </c>
      <c r="AL16" s="373"/>
      <c r="AM16" s="379"/>
      <c r="AN16" s="379"/>
      <c r="AO16" s="379"/>
      <c r="AP16" s="379"/>
      <c r="AQ16" s="373"/>
      <c r="AR16" s="371"/>
      <c r="AS16" s="371" t="s">
        <v>166</v>
      </c>
      <c r="AT16" s="372">
        <v>5</v>
      </c>
      <c r="AU16" s="372">
        <v>0</v>
      </c>
      <c r="AV16" s="372">
        <v>1</v>
      </c>
      <c r="AW16" s="372">
        <v>6</v>
      </c>
      <c r="AX16" s="372">
        <v>6</v>
      </c>
      <c r="AY16" s="372">
        <v>12</v>
      </c>
      <c r="AZ16" s="372">
        <v>40</v>
      </c>
      <c r="BA16" s="372">
        <v>6</v>
      </c>
      <c r="BB16" s="380">
        <v>15</v>
      </c>
      <c r="BC16" s="372">
        <v>7</v>
      </c>
      <c r="BD16" s="372">
        <v>0</v>
      </c>
      <c r="BE16" s="383">
        <v>0</v>
      </c>
      <c r="BF16" s="383">
        <f>-AT16*0.3</f>
        <v>-1.5</v>
      </c>
      <c r="BG16" s="383" t="s">
        <v>235</v>
      </c>
      <c r="BH16" s="383" t="s">
        <v>235</v>
      </c>
      <c r="BI16" s="371" t="s">
        <v>167</v>
      </c>
      <c r="BJ16" s="371"/>
      <c r="BK16" s="371"/>
      <c r="BL16" s="371"/>
      <c r="BM16" s="371"/>
      <c r="BN16" s="371"/>
      <c r="BO16" s="371"/>
    </row>
    <row r="17" spans="1:67" ht="12.75" customHeight="1" thickBot="1">
      <c r="A17" s="62"/>
      <c r="B17" s="88" t="s">
        <v>422</v>
      </c>
      <c r="C17" s="125"/>
      <c r="D17" s="126">
        <f>IF(D18+D19+D20+D21+D22+D23+D24+D25&gt;10,"Ошибка!","")</f>
      </c>
      <c r="E17" s="67"/>
      <c r="F17" s="601"/>
      <c r="G17" s="598"/>
      <c r="H17" s="598"/>
      <c r="I17" s="598"/>
      <c r="J17" s="598"/>
      <c r="K17" s="115" t="s">
        <v>411</v>
      </c>
      <c r="L17" s="115" t="s">
        <v>412</v>
      </c>
      <c r="M17" s="115" t="s">
        <v>413</v>
      </c>
      <c r="N17" s="100"/>
      <c r="O17" s="115" t="s">
        <v>411</v>
      </c>
      <c r="P17" s="115" t="s">
        <v>412</v>
      </c>
      <c r="Q17" s="116" t="s">
        <v>413</v>
      </c>
      <c r="R17" s="62"/>
      <c r="S17" s="62"/>
      <c r="T17" s="62"/>
      <c r="U17" s="62"/>
      <c r="V17" s="62"/>
      <c r="W17" s="554" t="s">
        <v>452</v>
      </c>
      <c r="X17" s="555"/>
      <c r="Y17" s="555"/>
      <c r="Z17" s="555"/>
      <c r="AA17" s="556"/>
      <c r="AB17" s="379" t="s">
        <v>493</v>
      </c>
      <c r="AC17" s="371" t="s">
        <v>464</v>
      </c>
      <c r="AD17" s="371" t="s">
        <v>463</v>
      </c>
      <c r="AE17" s="381">
        <v>1.54</v>
      </c>
      <c r="AF17" s="381">
        <f>VLOOKUP(N5,$AS$3:$BB$20,5)*AE17</f>
        <v>9.24</v>
      </c>
      <c r="AG17" s="371"/>
      <c r="AH17" s="373" t="s">
        <v>408</v>
      </c>
      <c r="AI17" s="371" t="s">
        <v>485</v>
      </c>
      <c r="AJ17" s="371">
        <f>D12*0.5</f>
        <v>3</v>
      </c>
      <c r="AK17" s="374"/>
      <c r="AL17" s="373"/>
      <c r="AM17" s="379"/>
      <c r="AN17" s="379"/>
      <c r="AO17" s="379"/>
      <c r="AP17" s="379"/>
      <c r="AQ17" s="373"/>
      <c r="AR17" s="371"/>
      <c r="AS17" s="371" t="s">
        <v>175</v>
      </c>
      <c r="AT17" s="372">
        <v>9</v>
      </c>
      <c r="AU17" s="372">
        <v>0</v>
      </c>
      <c r="AV17" s="372">
        <v>1</v>
      </c>
      <c r="AW17" s="372">
        <v>10</v>
      </c>
      <c r="AX17" s="380">
        <v>14</v>
      </c>
      <c r="AY17" s="380">
        <v>15</v>
      </c>
      <c r="AZ17" s="372">
        <v>50</v>
      </c>
      <c r="BA17" s="380">
        <v>12</v>
      </c>
      <c r="BB17" s="372">
        <v>5</v>
      </c>
      <c r="BC17" s="372">
        <v>7</v>
      </c>
      <c r="BD17" s="372">
        <v>0</v>
      </c>
      <c r="BE17" s="383">
        <f>-AT17*0.5</f>
        <v>-4.5</v>
      </c>
      <c r="BF17" s="383">
        <f>-AT17*0.5</f>
        <v>-4.5</v>
      </c>
      <c r="BG17" s="383" t="s">
        <v>235</v>
      </c>
      <c r="BH17" s="383" t="s">
        <v>235</v>
      </c>
      <c r="BI17" s="371" t="s">
        <v>176</v>
      </c>
      <c r="BJ17" s="371"/>
      <c r="BK17" s="371"/>
      <c r="BL17" s="371"/>
      <c r="BM17" s="371"/>
      <c r="BN17" s="371"/>
      <c r="BO17" s="371"/>
    </row>
    <row r="18" spans="1:67" ht="12.75" customHeight="1" thickBot="1">
      <c r="A18" s="62"/>
      <c r="B18" s="180" t="s">
        <v>426</v>
      </c>
      <c r="C18" s="181"/>
      <c r="D18" s="137">
        <v>0</v>
      </c>
      <c r="E18" s="138">
        <f>IF(D18=4,"макс.","")</f>
      </c>
      <c r="F18" s="78" t="s">
        <v>418</v>
      </c>
      <c r="G18" s="118"/>
      <c r="H18" s="100"/>
      <c r="I18" s="118" t="s">
        <v>419</v>
      </c>
      <c r="J18" s="100"/>
      <c r="K18" s="119">
        <f>L18*0.7</f>
        <v>15.909090909090908</v>
      </c>
      <c r="L18" s="120">
        <f>IF(L7&gt;0,IF(R10=0,L7*L7*D4,(L7*L7*D4)/R10),IF(R10=0,L5*L5*D4,(L5*L5*D4)/R10))</f>
        <v>22.727272727272727</v>
      </c>
      <c r="M18" s="121">
        <f aca="true" t="shared" si="0" ref="M18:M24">L18*1.3</f>
        <v>29.545454545454547</v>
      </c>
      <c r="N18" s="100"/>
      <c r="O18" s="122">
        <f>IF(R12&gt;0,IF(K18/R11&gt;=R12,"Все",K18/R11),K18/R11)</f>
        <v>0.07954545454545454</v>
      </c>
      <c r="P18" s="123">
        <f>IF(R12&gt;0,IF(L18/R11&gt;=R12,"Все",L18/R11),L18/R11)</f>
        <v>0.11363636363636363</v>
      </c>
      <c r="Q18" s="124">
        <f>IF(R12&gt;0,IF(M18/R11&gt;=R12,"Все",M18/R11),M18/R11)</f>
        <v>0.14772727272727273</v>
      </c>
      <c r="R18" s="62"/>
      <c r="S18" s="62"/>
      <c r="T18" s="62"/>
      <c r="U18" s="62"/>
      <c r="V18" s="62"/>
      <c r="W18" s="554"/>
      <c r="X18" s="555"/>
      <c r="Y18" s="555"/>
      <c r="Z18" s="555"/>
      <c r="AA18" s="556"/>
      <c r="AB18" s="379" t="s">
        <v>494</v>
      </c>
      <c r="AC18" s="371"/>
      <c r="AD18" s="371"/>
      <c r="AE18" s="381"/>
      <c r="AF18" s="381"/>
      <c r="AG18" s="371"/>
      <c r="AH18" s="373" t="s">
        <v>414</v>
      </c>
      <c r="AI18" s="373" t="s">
        <v>415</v>
      </c>
      <c r="AJ18" s="371">
        <f>VLOOKUP(C29,AI2:AJ12,2)</f>
        <v>2.4000000000000004</v>
      </c>
      <c r="AK18" s="373" t="e">
        <f>#REF!*0.08</f>
        <v>#REF!</v>
      </c>
      <c r="AL18" s="371"/>
      <c r="AM18" s="379"/>
      <c r="AN18" s="379"/>
      <c r="AO18" s="379"/>
      <c r="AP18" s="379"/>
      <c r="AQ18" s="371"/>
      <c r="AR18" s="371"/>
      <c r="AS18" s="371" t="s">
        <v>177</v>
      </c>
      <c r="AT18" s="372">
        <v>11</v>
      </c>
      <c r="AU18" s="372">
        <v>0</v>
      </c>
      <c r="AV18" s="372">
        <v>1</v>
      </c>
      <c r="AW18" s="380">
        <v>12</v>
      </c>
      <c r="AX18" s="372">
        <v>12</v>
      </c>
      <c r="AY18" s="372">
        <v>12</v>
      </c>
      <c r="AZ18" s="380">
        <v>70</v>
      </c>
      <c r="BA18" s="380">
        <v>9</v>
      </c>
      <c r="BB18" s="372">
        <v>5</v>
      </c>
      <c r="BC18" s="372">
        <v>7</v>
      </c>
      <c r="BD18" s="372">
        <v>0</v>
      </c>
      <c r="BE18" s="383">
        <f>-AT18*0.5</f>
        <v>-5.5</v>
      </c>
      <c r="BF18" s="383">
        <f>-AT18*0.5</f>
        <v>-5.5</v>
      </c>
      <c r="BG18" s="383" t="s">
        <v>235</v>
      </c>
      <c r="BH18" s="383" t="s">
        <v>235</v>
      </c>
      <c r="BI18" s="371" t="s">
        <v>176</v>
      </c>
      <c r="BJ18" s="371"/>
      <c r="BK18" s="371"/>
      <c r="BL18" s="371"/>
      <c r="BM18" s="371"/>
      <c r="BN18" s="371"/>
      <c r="BO18" s="371"/>
    </row>
    <row r="19" spans="1:67" ht="12.75" customHeight="1">
      <c r="A19" s="62"/>
      <c r="B19" s="182" t="s">
        <v>428</v>
      </c>
      <c r="C19" s="183"/>
      <c r="D19" s="137">
        <v>0</v>
      </c>
      <c r="E19" s="138">
        <f aca="true" t="shared" si="1" ref="E19:E25">IF(D19=4,"макс.","")</f>
      </c>
      <c r="F19" s="127" t="s">
        <v>423</v>
      </c>
      <c r="G19" s="128"/>
      <c r="H19" s="129">
        <f>VLOOKUP(C3,AS3:BH20,13)</f>
        <v>0</v>
      </c>
      <c r="I19" s="130">
        <f>IF(L7&gt;0,L7+H19,L5+H19)</f>
        <v>5</v>
      </c>
      <c r="J19" s="100"/>
      <c r="K19" s="131">
        <f aca="true" t="shared" si="2" ref="K19:K24">L19*0.7</f>
        <v>15.909090909090908</v>
      </c>
      <c r="L19" s="132">
        <f>IF(R10=0,I19*I19*D4,(I19*I19*D4)/R10)</f>
        <v>22.727272727272727</v>
      </c>
      <c r="M19" s="133">
        <f t="shared" si="0"/>
        <v>29.545454545454547</v>
      </c>
      <c r="N19" s="100"/>
      <c r="O19" s="134">
        <f>IF(R12&gt;0,IF(K19/R11&gt;=R12,"Все",K19/R11),K19/R11)</f>
        <v>0.07954545454545454</v>
      </c>
      <c r="P19" s="135">
        <f>IF(R12&gt;0,IF(L19/R11&gt;=R12,"Все",L19/R11),L19/R11)</f>
        <v>0.11363636363636363</v>
      </c>
      <c r="Q19" s="136">
        <f>IF(R12&gt;0,IF(M19/R11&gt;=R12,"Все",M19/R11),M19/R11)</f>
        <v>0.14772727272727273</v>
      </c>
      <c r="R19" s="62"/>
      <c r="S19" s="62"/>
      <c r="T19" s="62"/>
      <c r="U19" s="62"/>
      <c r="V19" s="62"/>
      <c r="W19" s="554"/>
      <c r="X19" s="555"/>
      <c r="Y19" s="555"/>
      <c r="Z19" s="555"/>
      <c r="AA19" s="556"/>
      <c r="AB19" s="379" t="s">
        <v>497</v>
      </c>
      <c r="AC19" s="371"/>
      <c r="AD19" s="371" t="s">
        <v>461</v>
      </c>
      <c r="AE19" s="381">
        <v>1</v>
      </c>
      <c r="AF19" s="381">
        <f>VLOOKUP(N6,$AS$3:$BB$20,5)*AE19</f>
        <v>5</v>
      </c>
      <c r="AG19" s="371"/>
      <c r="AH19" s="373" t="s">
        <v>420</v>
      </c>
      <c r="AI19" s="373" t="s">
        <v>421</v>
      </c>
      <c r="AJ19" s="371">
        <f>VLOOKUP(C28,AI12:AJ17,2)</f>
        <v>3</v>
      </c>
      <c r="AK19" s="373" t="e">
        <f>#REF!*0.16</f>
        <v>#REF!</v>
      </c>
      <c r="AL19" s="371"/>
      <c r="AM19" s="379"/>
      <c r="AN19" s="379"/>
      <c r="AO19" s="379"/>
      <c r="AP19" s="379"/>
      <c r="AQ19" s="371"/>
      <c r="AR19" s="371"/>
      <c r="AS19" s="371" t="s">
        <v>430</v>
      </c>
      <c r="AT19" s="380">
        <v>14</v>
      </c>
      <c r="AU19" s="372">
        <v>0</v>
      </c>
      <c r="AV19" s="372">
        <v>1</v>
      </c>
      <c r="AW19" s="380">
        <v>12</v>
      </c>
      <c r="AX19" s="372">
        <v>7</v>
      </c>
      <c r="AY19" s="372">
        <v>13</v>
      </c>
      <c r="AZ19" s="380">
        <v>150</v>
      </c>
      <c r="BA19" s="372">
        <v>6</v>
      </c>
      <c r="BB19" s="372">
        <v>4</v>
      </c>
      <c r="BC19" s="372">
        <v>7</v>
      </c>
      <c r="BD19" s="372">
        <v>0</v>
      </c>
      <c r="BE19" s="383">
        <f>-AT19*0.4</f>
        <v>-5.6000000000000005</v>
      </c>
      <c r="BF19" s="383">
        <f>-AT19*0.3</f>
        <v>-4.2</v>
      </c>
      <c r="BG19" s="383" t="s">
        <v>235</v>
      </c>
      <c r="BH19" s="383" t="s">
        <v>235</v>
      </c>
      <c r="BI19" s="371" t="s">
        <v>182</v>
      </c>
      <c r="BJ19" s="371"/>
      <c r="BK19" s="371"/>
      <c r="BL19" s="371"/>
      <c r="BM19" s="371"/>
      <c r="BN19" s="371"/>
      <c r="BO19" s="371"/>
    </row>
    <row r="20" spans="1:67" ht="12.75" customHeight="1">
      <c r="A20" s="62"/>
      <c r="B20" s="182" t="s">
        <v>431</v>
      </c>
      <c r="C20" s="183"/>
      <c r="D20" s="137">
        <v>4</v>
      </c>
      <c r="E20" s="138" t="str">
        <f t="shared" si="1"/>
        <v>макс.</v>
      </c>
      <c r="F20" s="139" t="s">
        <v>427</v>
      </c>
      <c r="G20" s="140"/>
      <c r="H20" s="141">
        <f>VLOOKUP(C3,AS3:BH20,14)</f>
        <v>-1.5</v>
      </c>
      <c r="I20" s="142">
        <f>IF(L7&gt;0,L7+H20,L5+H20)</f>
        <v>3.5</v>
      </c>
      <c r="J20" s="100"/>
      <c r="K20" s="143">
        <f t="shared" si="2"/>
        <v>7.795454545454545</v>
      </c>
      <c r="L20" s="144">
        <f>IF(R10=0,I20*I20*D4,(I20*I20*D4)/R10)</f>
        <v>11.136363636363637</v>
      </c>
      <c r="M20" s="145">
        <f t="shared" si="0"/>
        <v>14.477272727272728</v>
      </c>
      <c r="N20" s="100"/>
      <c r="O20" s="146">
        <f>IF(R12&gt;0,IF(K20/R11&gt;=R12,"Все",K20/R11),K20/R11)</f>
        <v>0.03897727272727272</v>
      </c>
      <c r="P20" s="147">
        <f>IF(R12&gt;0,IF(L20/R11&gt;=R12,"Все",L20/R11),L20/R11)</f>
        <v>0.055681818181818186</v>
      </c>
      <c r="Q20" s="148">
        <f>IF(R12&gt;0,IF(M20/R11&gt;=R12,"Все",M20/R11),M20/R11)</f>
        <v>0.07238636363636364</v>
      </c>
      <c r="R20" s="62"/>
      <c r="S20" s="62"/>
      <c r="T20" s="62"/>
      <c r="U20" s="62"/>
      <c r="V20" s="62"/>
      <c r="W20" s="554"/>
      <c r="X20" s="555"/>
      <c r="Y20" s="555"/>
      <c r="Z20" s="555"/>
      <c r="AA20" s="556"/>
      <c r="AB20" s="379" t="s">
        <v>495</v>
      </c>
      <c r="AC20" s="371"/>
      <c r="AD20" s="371" t="s">
        <v>464</v>
      </c>
      <c r="AE20" s="381">
        <v>1.72</v>
      </c>
      <c r="AF20" s="381">
        <f>VLOOKUP(N6,$AS$3:$BB$20,5)*AE20</f>
        <v>8.6</v>
      </c>
      <c r="AG20" s="371"/>
      <c r="AH20" s="373" t="s">
        <v>424</v>
      </c>
      <c r="AI20" s="374" t="s">
        <v>425</v>
      </c>
      <c r="AJ20" s="374"/>
      <c r="AK20" s="373" t="e">
        <f>#REF!*0.24</f>
        <v>#REF!</v>
      </c>
      <c r="AL20" s="371"/>
      <c r="AM20" s="379"/>
      <c r="AN20" s="379"/>
      <c r="AO20" s="379"/>
      <c r="AP20" s="379"/>
      <c r="AQ20" s="371"/>
      <c r="AR20" s="371"/>
      <c r="AS20" s="371" t="s">
        <v>433</v>
      </c>
      <c r="AT20" s="372">
        <v>5</v>
      </c>
      <c r="AU20" s="372">
        <v>6</v>
      </c>
      <c r="AV20" s="380">
        <v>3</v>
      </c>
      <c r="AW20" s="372">
        <v>6</v>
      </c>
      <c r="AX20" s="372">
        <v>8</v>
      </c>
      <c r="AY20" s="372">
        <v>13</v>
      </c>
      <c r="AZ20" s="372">
        <v>50</v>
      </c>
      <c r="BA20" s="372">
        <v>7</v>
      </c>
      <c r="BB20" s="372">
        <v>10</v>
      </c>
      <c r="BC20" s="372">
        <v>7</v>
      </c>
      <c r="BD20" s="372">
        <v>0</v>
      </c>
      <c r="BE20" s="383">
        <v>0</v>
      </c>
      <c r="BF20" s="383">
        <f>-AT20*0.3</f>
        <v>-1.5</v>
      </c>
      <c r="BG20" s="383">
        <v>0</v>
      </c>
      <c r="BH20" s="383">
        <f>-AU20*0.3</f>
        <v>-1.7999999999999998</v>
      </c>
      <c r="BI20" s="371" t="s">
        <v>188</v>
      </c>
      <c r="BJ20" s="371"/>
      <c r="BK20" s="371"/>
      <c r="BL20" s="371"/>
      <c r="BM20" s="371"/>
      <c r="BN20" s="371"/>
      <c r="BO20" s="371"/>
    </row>
    <row r="21" spans="1:67" ht="12.75" customHeight="1">
      <c r="A21" s="62"/>
      <c r="B21" s="182" t="s">
        <v>434</v>
      </c>
      <c r="C21" s="183"/>
      <c r="D21" s="137">
        <v>0</v>
      </c>
      <c r="E21" s="138">
        <f t="shared" si="1"/>
      </c>
      <c r="F21" s="139" t="s">
        <v>429</v>
      </c>
      <c r="G21" s="140"/>
      <c r="H21" s="141">
        <f>IF(C3=AS3,L5*0.2,0)</f>
        <v>0</v>
      </c>
      <c r="I21" s="142">
        <f>IF(L7&gt;0,L7+H21,L5+H21)</f>
        <v>5</v>
      </c>
      <c r="J21" s="100"/>
      <c r="K21" s="143">
        <f t="shared" si="2"/>
        <v>15.909090909090908</v>
      </c>
      <c r="L21" s="144">
        <f>IF(R10=0,I21*I21*D5,(I21*I21*D4)/R10)</f>
        <v>22.727272727272727</v>
      </c>
      <c r="M21" s="145">
        <f t="shared" si="0"/>
        <v>29.545454545454547</v>
      </c>
      <c r="N21" s="100"/>
      <c r="O21" s="146">
        <f>IF(R12&gt;0,IF(K21/R11&gt;=R12,"Все",K21/R11),K21/R11)</f>
        <v>0.07954545454545454</v>
      </c>
      <c r="P21" s="135">
        <f>IF(R12&gt;0,IF(L21/R11&gt;=R12,"Все",L21/R11),L21/R11)</f>
        <v>0.11363636363636363</v>
      </c>
      <c r="Q21" s="148">
        <f>IF(R12&gt;0,IF(M21/R11&gt;=R12,"Все",M21/R11),M21/R11)</f>
        <v>0.14772727272727273</v>
      </c>
      <c r="R21" s="62"/>
      <c r="S21" s="62"/>
      <c r="T21" s="62"/>
      <c r="U21" s="62"/>
      <c r="V21" s="62"/>
      <c r="W21" s="554"/>
      <c r="X21" s="555"/>
      <c r="Y21" s="555"/>
      <c r="Z21" s="555"/>
      <c r="AA21" s="556"/>
      <c r="AB21" s="379" t="s">
        <v>496</v>
      </c>
      <c r="AC21" s="371"/>
      <c r="AD21" s="371" t="s">
        <v>462</v>
      </c>
      <c r="AE21" s="381">
        <v>1.3</v>
      </c>
      <c r="AF21" s="381">
        <f>VLOOKUP(N6,$AS$3:$BB$20,5)*AE21</f>
        <v>6.5</v>
      </c>
      <c r="AG21" s="371"/>
      <c r="AH21" s="373" t="s">
        <v>469</v>
      </c>
      <c r="AI21" s="373" t="s">
        <v>318</v>
      </c>
      <c r="AJ21" s="373">
        <f>D13*0.08</f>
        <v>0.48</v>
      </c>
      <c r="AK21" s="373" t="e">
        <f>#REF!*0.32</f>
        <v>#REF!</v>
      </c>
      <c r="AL21" s="371"/>
      <c r="AM21" s="379"/>
      <c r="AN21" s="379"/>
      <c r="AO21" s="379"/>
      <c r="AP21" s="379"/>
      <c r="AQ21" s="371"/>
      <c r="AR21" s="371"/>
      <c r="AS21" s="371"/>
      <c r="AT21" s="382">
        <v>4</v>
      </c>
      <c r="AU21" s="382">
        <v>0</v>
      </c>
      <c r="AV21" s="382"/>
      <c r="AW21" s="382">
        <v>1</v>
      </c>
      <c r="AX21" s="382">
        <v>5</v>
      </c>
      <c r="AY21" s="382">
        <v>5</v>
      </c>
      <c r="AZ21" s="382">
        <v>9</v>
      </c>
      <c r="BA21" s="382">
        <v>30</v>
      </c>
      <c r="BB21" s="382">
        <v>5</v>
      </c>
      <c r="BC21" s="382">
        <v>4</v>
      </c>
      <c r="BD21" s="372" t="s">
        <v>205</v>
      </c>
      <c r="BE21" s="372"/>
      <c r="BF21" s="372"/>
      <c r="BG21" s="371"/>
      <c r="BH21" s="371"/>
      <c r="BI21" s="371"/>
      <c r="BJ21" s="371"/>
      <c r="BK21" s="371"/>
      <c r="BL21" s="371"/>
      <c r="BM21" s="371"/>
      <c r="BN21" s="371"/>
      <c r="BO21" s="371"/>
    </row>
    <row r="22" spans="1:67" ht="12.75" customHeight="1">
      <c r="A22" s="62"/>
      <c r="B22" s="182" t="s">
        <v>436</v>
      </c>
      <c r="C22" s="183"/>
      <c r="D22" s="137">
        <v>0</v>
      </c>
      <c r="E22" s="138">
        <f t="shared" si="1"/>
      </c>
      <c r="F22" s="149" t="s">
        <v>432</v>
      </c>
      <c r="G22" s="150"/>
      <c r="H22" s="141">
        <f>IF(C3=AS10,-L5*0.3,IF(C3=AS16,L5*0.5,0))</f>
        <v>2.5</v>
      </c>
      <c r="I22" s="142">
        <f>IF(L7&gt;0,L7+H22,L5+H22)</f>
        <v>7.5</v>
      </c>
      <c r="J22" s="100"/>
      <c r="K22" s="143">
        <f t="shared" si="2"/>
        <v>35.79545454545454</v>
      </c>
      <c r="L22" s="144">
        <f>IF(R10=0,I22*I22*D6,(I22*I22*D4)/R10)</f>
        <v>51.13636363636363</v>
      </c>
      <c r="M22" s="145">
        <f t="shared" si="0"/>
        <v>66.47727272727272</v>
      </c>
      <c r="N22" s="100"/>
      <c r="O22" s="146">
        <f>IF(R12&gt;0,IF(K22/R11&gt;=R12,"Все",K22/R11),K22/R11)</f>
        <v>0.1789772727272727</v>
      </c>
      <c r="P22" s="147">
        <f>IF(R12&gt;0,IF(L22/R11&gt;=R12,"Все",L22/R11),L22/R11)</f>
        <v>0.2556818181818182</v>
      </c>
      <c r="Q22" s="148">
        <f>IF(R12&gt;0,IF(M22/R11&gt;=R12,"Все",M22/R11),M22/R11)</f>
        <v>0.3323863636363636</v>
      </c>
      <c r="R22" s="62"/>
      <c r="S22" s="62"/>
      <c r="T22" s="62"/>
      <c r="U22" s="62"/>
      <c r="V22" s="62"/>
      <c r="W22" s="554"/>
      <c r="X22" s="555"/>
      <c r="Y22" s="555"/>
      <c r="Z22" s="555"/>
      <c r="AA22" s="556"/>
      <c r="AB22" s="379"/>
      <c r="AC22" s="371"/>
      <c r="AD22" s="371" t="s">
        <v>463</v>
      </c>
      <c r="AE22" s="381">
        <v>1.54</v>
      </c>
      <c r="AF22" s="381">
        <f>VLOOKUP(N6,$AS$3:$BB$20,5)*AE22</f>
        <v>7.7</v>
      </c>
      <c r="AG22" s="371"/>
      <c r="AH22" s="371" t="s">
        <v>499</v>
      </c>
      <c r="AI22" s="373" t="s">
        <v>331</v>
      </c>
      <c r="AJ22" s="373">
        <f>D13*0.16</f>
        <v>0.96</v>
      </c>
      <c r="AK22" s="373">
        <v>0</v>
      </c>
      <c r="AL22" s="371"/>
      <c r="AM22" s="379"/>
      <c r="AN22" s="379"/>
      <c r="AO22" s="379"/>
      <c r="AP22" s="379"/>
      <c r="AQ22" s="371"/>
      <c r="AR22" s="371"/>
      <c r="AS22" s="371"/>
      <c r="AT22" s="382">
        <v>5</v>
      </c>
      <c r="AU22" s="382">
        <v>6</v>
      </c>
      <c r="AV22" s="382"/>
      <c r="AW22" s="382">
        <v>2</v>
      </c>
      <c r="AX22" s="382">
        <v>6</v>
      </c>
      <c r="AY22" s="382">
        <v>6</v>
      </c>
      <c r="AZ22" s="382">
        <v>10</v>
      </c>
      <c r="BA22" s="382">
        <v>40</v>
      </c>
      <c r="BB22" s="382">
        <v>6</v>
      </c>
      <c r="BC22" s="382">
        <v>5</v>
      </c>
      <c r="BD22" s="372" t="s">
        <v>201</v>
      </c>
      <c r="BE22" s="372"/>
      <c r="BF22" s="372"/>
      <c r="BG22" s="371"/>
      <c r="BH22" s="371"/>
      <c r="BI22" s="371"/>
      <c r="BJ22" s="371"/>
      <c r="BK22" s="371"/>
      <c r="BL22" s="371"/>
      <c r="BM22" s="371"/>
      <c r="BN22" s="371"/>
      <c r="BO22" s="371"/>
    </row>
    <row r="23" spans="1:67" ht="12.75" customHeight="1">
      <c r="A23" s="62"/>
      <c r="B23" s="182" t="s">
        <v>438</v>
      </c>
      <c r="C23" s="183"/>
      <c r="D23" s="137">
        <v>0</v>
      </c>
      <c r="E23" s="138">
        <f t="shared" si="1"/>
      </c>
      <c r="F23" s="139" t="s">
        <v>435</v>
      </c>
      <c r="G23" s="140"/>
      <c r="H23" s="141">
        <f>IF(C3=AS3,L5*0.5,0)</f>
        <v>0</v>
      </c>
      <c r="I23" s="142">
        <f>IF(L7&gt;0,L7+H23,L5+H23)</f>
        <v>5</v>
      </c>
      <c r="J23" s="100"/>
      <c r="K23" s="143">
        <f t="shared" si="2"/>
        <v>15.909090909090908</v>
      </c>
      <c r="L23" s="144">
        <f>IF(R10=0,I23*I23*D7,(I23*I23*D4)/R10)</f>
        <v>22.727272727272727</v>
      </c>
      <c r="M23" s="145">
        <f t="shared" si="0"/>
        <v>29.545454545454547</v>
      </c>
      <c r="N23" s="100"/>
      <c r="O23" s="146">
        <f>IF(R12&gt;0,IF(K23/R11&gt;=R12,"Все",K23/R11),K23/R11)</f>
        <v>0.07954545454545454</v>
      </c>
      <c r="P23" s="147">
        <f>IF(R12&gt;0,IF(L23/R11&gt;=R12,"Все",L23/R11),L23/R11)</f>
        <v>0.11363636363636363</v>
      </c>
      <c r="Q23" s="148">
        <f>IF(R12&gt;0,IF(M23/R11&gt;=R12,"Все",M23/R11),M23/R11)</f>
        <v>0.14772727272727273</v>
      </c>
      <c r="R23" s="62"/>
      <c r="S23" s="62"/>
      <c r="T23" s="62"/>
      <c r="U23" s="62"/>
      <c r="V23" s="62"/>
      <c r="W23" s="427" t="s">
        <v>60</v>
      </c>
      <c r="X23" s="428"/>
      <c r="Y23" s="428"/>
      <c r="Z23" s="428"/>
      <c r="AA23" s="429"/>
      <c r="AB23" s="379"/>
      <c r="AC23" s="371"/>
      <c r="AD23" s="371"/>
      <c r="AE23" s="381"/>
      <c r="AF23" s="381"/>
      <c r="AG23" s="371"/>
      <c r="AH23" s="371"/>
      <c r="AI23" s="373" t="s">
        <v>338</v>
      </c>
      <c r="AJ23" s="373">
        <f>D13*0.24</f>
        <v>1.44</v>
      </c>
      <c r="AK23" s="373">
        <v>0</v>
      </c>
      <c r="AL23" s="371"/>
      <c r="AM23" s="379"/>
      <c r="AN23" s="379"/>
      <c r="AO23" s="379"/>
      <c r="AP23" s="379"/>
      <c r="AQ23" s="371"/>
      <c r="AR23" s="371"/>
      <c r="AS23" s="371"/>
      <c r="AT23" s="382">
        <v>6</v>
      </c>
      <c r="AU23" s="382">
        <v>7</v>
      </c>
      <c r="AV23" s="382"/>
      <c r="AW23" s="382">
        <v>3</v>
      </c>
      <c r="AX23" s="382">
        <v>8</v>
      </c>
      <c r="AY23" s="382">
        <v>7</v>
      </c>
      <c r="AZ23" s="382">
        <v>12</v>
      </c>
      <c r="BA23" s="382">
        <v>50</v>
      </c>
      <c r="BB23" s="382">
        <v>7</v>
      </c>
      <c r="BC23" s="382">
        <v>6</v>
      </c>
      <c r="BD23" s="372" t="s">
        <v>201</v>
      </c>
      <c r="BE23" s="372"/>
      <c r="BF23" s="372"/>
      <c r="BG23" s="371"/>
      <c r="BH23" s="371"/>
      <c r="BI23" s="371"/>
      <c r="BJ23" s="371"/>
      <c r="BK23" s="371"/>
      <c r="BL23" s="371"/>
      <c r="BM23" s="371"/>
      <c r="BN23" s="371"/>
      <c r="BO23" s="371"/>
    </row>
    <row r="24" spans="1:67" ht="13.5" customHeight="1" thickBot="1">
      <c r="A24" s="62"/>
      <c r="B24" s="182" t="s">
        <v>439</v>
      </c>
      <c r="C24" s="183"/>
      <c r="D24" s="137">
        <v>0</v>
      </c>
      <c r="E24" s="162">
        <f t="shared" si="1"/>
      </c>
      <c r="F24" s="151" t="s">
        <v>437</v>
      </c>
      <c r="G24" s="152"/>
      <c r="H24" s="153">
        <f>IF(C3=AS3,L5*0.35,IF(C3=AS10,-L5*0.3,IF(C3=AS16,L5*0.4,0)))</f>
        <v>2</v>
      </c>
      <c r="I24" s="154">
        <f>IF(L7&gt;0,L7+H24,L5+H24)</f>
        <v>7</v>
      </c>
      <c r="J24" s="155"/>
      <c r="K24" s="156">
        <f t="shared" si="2"/>
        <v>31.18181818181818</v>
      </c>
      <c r="L24" s="157">
        <f>IF(R10=0,I24*I24*D8,(I24*I24*D4)/R10)</f>
        <v>44.54545454545455</v>
      </c>
      <c r="M24" s="158">
        <f t="shared" si="0"/>
        <v>57.909090909090914</v>
      </c>
      <c r="N24" s="107"/>
      <c r="O24" s="159">
        <f>IF(R12&gt;0,IF(K24/R11&gt;=R12,"Все",K24/R11),K24/R11)</f>
        <v>0.15590909090909089</v>
      </c>
      <c r="P24" s="160">
        <f>IF(R12&gt;0,IF(L24/R11&gt;=R12,"Все",L24/R11),L24/R11)</f>
        <v>0.22272727272727275</v>
      </c>
      <c r="Q24" s="161">
        <f>IF(R12&gt;0,IF(M24/R11&gt;=R12,"Все",M24/R11),M24/R11)</f>
        <v>0.28954545454545455</v>
      </c>
      <c r="R24" s="62"/>
      <c r="S24" s="62"/>
      <c r="T24" s="62"/>
      <c r="U24" s="62"/>
      <c r="V24" s="62"/>
      <c r="W24" s="427"/>
      <c r="X24" s="428"/>
      <c r="Y24" s="428"/>
      <c r="Z24" s="428"/>
      <c r="AA24" s="429"/>
      <c r="AB24" s="379"/>
      <c r="AC24" s="371"/>
      <c r="AD24" s="371" t="s">
        <v>461</v>
      </c>
      <c r="AE24" s="381">
        <v>1</v>
      </c>
      <c r="AF24" s="381">
        <f>VLOOKUP(N7,$AS$3:$BB$20,5)*AE24</f>
        <v>12</v>
      </c>
      <c r="AG24" s="371"/>
      <c r="AH24" s="371"/>
      <c r="AI24" s="373" t="s">
        <v>347</v>
      </c>
      <c r="AJ24" s="373">
        <f>D13*0.32</f>
        <v>1.92</v>
      </c>
      <c r="AK24" s="373">
        <v>0</v>
      </c>
      <c r="AL24" s="371"/>
      <c r="AM24" s="379"/>
      <c r="AN24" s="379"/>
      <c r="AO24" s="379"/>
      <c r="AP24" s="379"/>
      <c r="AQ24" s="371"/>
      <c r="AR24" s="371"/>
      <c r="AS24" s="371"/>
      <c r="AT24" s="382">
        <v>7</v>
      </c>
      <c r="AU24" s="382">
        <v>10</v>
      </c>
      <c r="AV24" s="382"/>
      <c r="AW24" s="382">
        <v>4</v>
      </c>
      <c r="AX24" s="382">
        <v>9</v>
      </c>
      <c r="AY24" s="382">
        <v>8</v>
      </c>
      <c r="AZ24" s="382">
        <v>13</v>
      </c>
      <c r="BA24" s="382">
        <v>60</v>
      </c>
      <c r="BB24" s="382">
        <v>8</v>
      </c>
      <c r="BC24" s="382">
        <v>7</v>
      </c>
      <c r="BD24" s="372" t="s">
        <v>201</v>
      </c>
      <c r="BE24" s="372"/>
      <c r="BF24" s="372"/>
      <c r="BG24" s="371"/>
      <c r="BH24" s="371"/>
      <c r="BI24" s="371"/>
      <c r="BJ24" s="371"/>
      <c r="BK24" s="371"/>
      <c r="BL24" s="371"/>
      <c r="BM24" s="371"/>
      <c r="BN24" s="371"/>
      <c r="BO24" s="371"/>
    </row>
    <row r="25" spans="1:67" ht="12.75" customHeight="1" thickBot="1">
      <c r="A25" s="62"/>
      <c r="B25" s="184" t="s">
        <v>443</v>
      </c>
      <c r="C25" s="185"/>
      <c r="D25" s="165">
        <v>0</v>
      </c>
      <c r="E25" s="138">
        <f t="shared" si="1"/>
      </c>
      <c r="F25" s="596"/>
      <c r="G25" s="596"/>
      <c r="H25" s="596"/>
      <c r="I25" s="596"/>
      <c r="J25" s="596"/>
      <c r="K25" s="596"/>
      <c r="L25" s="596"/>
      <c r="M25" s="596"/>
      <c r="N25" s="596"/>
      <c r="O25" s="596"/>
      <c r="P25" s="596"/>
      <c r="Q25" s="596"/>
      <c r="R25" s="596"/>
      <c r="S25" s="62"/>
      <c r="T25" s="62"/>
      <c r="U25" s="62"/>
      <c r="V25" s="62"/>
      <c r="W25" s="427"/>
      <c r="X25" s="428"/>
      <c r="Y25" s="428"/>
      <c r="Z25" s="428"/>
      <c r="AA25" s="429"/>
      <c r="AB25" s="379"/>
      <c r="AC25" s="371"/>
      <c r="AD25" s="371" t="s">
        <v>464</v>
      </c>
      <c r="AE25" s="381">
        <v>1.72</v>
      </c>
      <c r="AF25" s="381">
        <f>VLOOKUP(N7,$AS$3:$BB$20,5)*AE25</f>
        <v>20.64</v>
      </c>
      <c r="AG25" s="371"/>
      <c r="AH25" s="371"/>
      <c r="AI25" s="373" t="s">
        <v>484</v>
      </c>
      <c r="AJ25" s="373">
        <f>D13*0.4</f>
        <v>2.4000000000000004</v>
      </c>
      <c r="AK25" s="373">
        <v>0</v>
      </c>
      <c r="AL25" s="371"/>
      <c r="AM25" s="379"/>
      <c r="AN25" s="379"/>
      <c r="AO25" s="379"/>
      <c r="AP25" s="379"/>
      <c r="AQ25" s="371"/>
      <c r="AR25" s="371"/>
      <c r="AS25" s="371"/>
      <c r="AT25" s="382">
        <v>8</v>
      </c>
      <c r="AU25" s="382">
        <v>20</v>
      </c>
      <c r="AV25" s="382"/>
      <c r="AW25" s="382"/>
      <c r="AX25" s="382">
        <v>10</v>
      </c>
      <c r="AY25" s="382">
        <v>9</v>
      </c>
      <c r="AZ25" s="382">
        <v>14</v>
      </c>
      <c r="BA25" s="382">
        <v>70</v>
      </c>
      <c r="BB25" s="382">
        <v>9</v>
      </c>
      <c r="BC25" s="382">
        <v>10</v>
      </c>
      <c r="BD25" s="382">
        <v>6</v>
      </c>
      <c r="BE25" s="382"/>
      <c r="BF25" s="382"/>
      <c r="BG25" s="371"/>
      <c r="BH25" s="371"/>
      <c r="BI25" s="371"/>
      <c r="BJ25" s="371"/>
      <c r="BK25" s="371"/>
      <c r="BL25" s="371"/>
      <c r="BM25" s="371"/>
      <c r="BN25" s="371"/>
      <c r="BO25" s="371"/>
    </row>
    <row r="26" spans="1:67" ht="14.25" customHeight="1">
      <c r="A26" s="62"/>
      <c r="B26" s="593" t="s">
        <v>444</v>
      </c>
      <c r="C26" s="594"/>
      <c r="D26" s="595"/>
      <c r="E26" s="114"/>
      <c r="F26" s="163" t="s">
        <v>440</v>
      </c>
      <c r="G26" s="94"/>
      <c r="H26" s="164"/>
      <c r="I26" s="164"/>
      <c r="J26" s="164"/>
      <c r="K26" s="597" t="s">
        <v>441</v>
      </c>
      <c r="L26" s="597"/>
      <c r="M26" s="597"/>
      <c r="N26" s="94"/>
      <c r="O26" s="111" t="s">
        <v>442</v>
      </c>
      <c r="P26" s="112"/>
      <c r="Q26" s="113"/>
      <c r="R26" s="62"/>
      <c r="S26" s="62"/>
      <c r="T26" s="62"/>
      <c r="U26" s="62"/>
      <c r="V26" s="62"/>
      <c r="W26" s="427"/>
      <c r="X26" s="428"/>
      <c r="Y26" s="428"/>
      <c r="Z26" s="428"/>
      <c r="AA26" s="429"/>
      <c r="AB26" s="379"/>
      <c r="AC26" s="371"/>
      <c r="AD26" s="371" t="s">
        <v>462</v>
      </c>
      <c r="AE26" s="381">
        <v>1.3</v>
      </c>
      <c r="AF26" s="381">
        <f>VLOOKUP(N7,$AS$3:$BB$20,5)*AE26</f>
        <v>15.600000000000001</v>
      </c>
      <c r="AG26" s="371"/>
      <c r="AH26" s="371"/>
      <c r="AI26" s="373" t="s">
        <v>356</v>
      </c>
      <c r="AJ26" s="373">
        <v>0</v>
      </c>
      <c r="AK26" s="373">
        <v>0</v>
      </c>
      <c r="AL26" s="371"/>
      <c r="AM26" s="379"/>
      <c r="AN26" s="379"/>
      <c r="AO26" s="379"/>
      <c r="AP26" s="379"/>
      <c r="AQ26" s="371"/>
      <c r="AR26" s="371"/>
      <c r="AS26" s="371"/>
      <c r="AT26" s="382">
        <v>9</v>
      </c>
      <c r="AU26" s="382">
        <v>25</v>
      </c>
      <c r="AV26" s="382"/>
      <c r="AW26" s="382"/>
      <c r="AX26" s="382">
        <v>12</v>
      </c>
      <c r="AY26" s="382">
        <v>10</v>
      </c>
      <c r="AZ26" s="382">
        <v>15</v>
      </c>
      <c r="BA26" s="382">
        <v>150</v>
      </c>
      <c r="BB26" s="382">
        <v>10</v>
      </c>
      <c r="BC26" s="382">
        <v>15</v>
      </c>
      <c r="BD26" s="382">
        <v>7</v>
      </c>
      <c r="BE26" s="382"/>
      <c r="BF26" s="382"/>
      <c r="BG26" s="371"/>
      <c r="BH26" s="371"/>
      <c r="BI26" s="371"/>
      <c r="BJ26" s="371"/>
      <c r="BK26" s="371"/>
      <c r="BL26" s="371"/>
      <c r="BM26" s="371"/>
      <c r="BN26" s="371"/>
      <c r="BO26" s="371"/>
    </row>
    <row r="27" spans="1:67" ht="12.75" customHeight="1" thickBot="1">
      <c r="A27" s="62"/>
      <c r="B27" s="167" t="s">
        <v>446</v>
      </c>
      <c r="C27" s="591" t="s">
        <v>470</v>
      </c>
      <c r="D27" s="592"/>
      <c r="E27" s="114"/>
      <c r="F27" s="598" t="str">
        <f>IF(L6=0,"Герой с текущим видом форса не имеет дистанционной атаки!"," ")</f>
        <v>Герой с текущим видом форса не имеет дистанционной атаки!</v>
      </c>
      <c r="G27" s="598"/>
      <c r="H27" s="598"/>
      <c r="I27" s="598"/>
      <c r="J27" s="598"/>
      <c r="K27" s="115" t="s">
        <v>411</v>
      </c>
      <c r="L27" s="115" t="s">
        <v>412</v>
      </c>
      <c r="M27" s="115" t="s">
        <v>413</v>
      </c>
      <c r="N27" s="100"/>
      <c r="O27" s="115" t="s">
        <v>411</v>
      </c>
      <c r="P27" s="115" t="s">
        <v>412</v>
      </c>
      <c r="Q27" s="116" t="s">
        <v>413</v>
      </c>
      <c r="R27" s="62"/>
      <c r="S27" s="62"/>
      <c r="T27" s="62"/>
      <c r="U27" s="62"/>
      <c r="V27" s="62"/>
      <c r="W27" s="427"/>
      <c r="X27" s="428"/>
      <c r="Y27" s="428"/>
      <c r="Z27" s="428"/>
      <c r="AA27" s="429"/>
      <c r="AB27" s="379"/>
      <c r="AC27" s="371"/>
      <c r="AD27" s="371" t="s">
        <v>463</v>
      </c>
      <c r="AE27" s="381">
        <v>1.54</v>
      </c>
      <c r="AF27" s="381">
        <f>VLOOKUP(N7,$AS$3:$BB$20,5)*AE27</f>
        <v>18.48</v>
      </c>
      <c r="AG27" s="371"/>
      <c r="AH27" s="371"/>
      <c r="AI27" s="373" t="s">
        <v>363</v>
      </c>
      <c r="AJ27" s="373">
        <v>0</v>
      </c>
      <c r="AK27" s="373" t="e">
        <f>#REF!*0.1</f>
        <v>#REF!</v>
      </c>
      <c r="AL27" s="371"/>
      <c r="AM27" s="379"/>
      <c r="AN27" s="379"/>
      <c r="AO27" s="379"/>
      <c r="AP27" s="379"/>
      <c r="AQ27" s="371"/>
      <c r="AR27" s="371"/>
      <c r="AS27" s="371"/>
      <c r="AT27" s="382">
        <v>10</v>
      </c>
      <c r="AU27" s="382">
        <v>50</v>
      </c>
      <c r="AV27" s="382"/>
      <c r="AW27" s="382"/>
      <c r="AX27" s="382">
        <v>15</v>
      </c>
      <c r="AY27" s="382">
        <v>12</v>
      </c>
      <c r="AZ27" s="382">
        <v>16</v>
      </c>
      <c r="BA27" s="382">
        <v>200</v>
      </c>
      <c r="BB27" s="382">
        <v>12</v>
      </c>
      <c r="BC27" s="382"/>
      <c r="BD27" s="382">
        <v>15</v>
      </c>
      <c r="BE27" s="382"/>
      <c r="BF27" s="382"/>
      <c r="BG27" s="371"/>
      <c r="BH27" s="371"/>
      <c r="BI27" s="371"/>
      <c r="BJ27" s="371"/>
      <c r="BK27" s="371"/>
      <c r="BL27" s="371"/>
      <c r="BM27" s="371"/>
      <c r="BN27" s="371"/>
      <c r="BO27" s="371"/>
    </row>
    <row r="28" spans="1:67" ht="13.5" customHeight="1" thickBot="1">
      <c r="A28" s="62"/>
      <c r="B28" s="170" t="s">
        <v>447</v>
      </c>
      <c r="C28" s="584" t="s">
        <v>485</v>
      </c>
      <c r="D28" s="585"/>
      <c r="E28" s="62"/>
      <c r="F28" s="78" t="s">
        <v>445</v>
      </c>
      <c r="G28" s="118"/>
      <c r="H28" s="166"/>
      <c r="I28" s="118" t="s">
        <v>419</v>
      </c>
      <c r="J28" s="100"/>
      <c r="K28" s="119" t="str">
        <f>IF(H29=AL1,"нет",L28*0.7)</f>
        <v>нет</v>
      </c>
      <c r="L28" s="120" t="str">
        <f>IF(L7&gt;0,IF(H29=AL1,"нет",IF(R10=0,L7*L7*D4,(L7*L7*D4)/R10)),IF(H29=AL1,"нет",IF(R10=0,L6*L6*D4,(L6*L6*D4)/R10)))</f>
        <v>нет</v>
      </c>
      <c r="M28" s="121" t="str">
        <f>IF(H29=AL1,"нет",L28*1.3)</f>
        <v>нет</v>
      </c>
      <c r="N28" s="100"/>
      <c r="O28" s="122" t="str">
        <f>IF(H29="нет","нет",IF(R12&gt;0,IF(K28/R11&gt;=R12,"Все",K28/R11),K28/R11))</f>
        <v>нет</v>
      </c>
      <c r="P28" s="123" t="str">
        <f>IF(H29="нет","нет",IF(R12&gt;0,IF(L28/R11&gt;=R12,"Все",L28/R11),L28/R11))</f>
        <v>нет</v>
      </c>
      <c r="Q28" s="124" t="str">
        <f>IF(H29="нет","нет",IF(R12&gt;0,IF(M28/R11&gt;=R12,"Все",M28/R11),M28/R11))</f>
        <v>нет</v>
      </c>
      <c r="R28" s="62"/>
      <c r="S28" s="62"/>
      <c r="T28" s="62"/>
      <c r="U28" s="62"/>
      <c r="V28" s="62"/>
      <c r="W28" s="427"/>
      <c r="X28" s="428"/>
      <c r="Y28" s="428"/>
      <c r="Z28" s="428"/>
      <c r="AA28" s="429"/>
      <c r="AB28" s="379"/>
      <c r="AC28" s="371"/>
      <c r="AD28" s="371"/>
      <c r="AE28" s="381"/>
      <c r="AF28" s="381"/>
      <c r="AG28" s="371"/>
      <c r="AH28" s="371"/>
      <c r="AI28" s="373" t="s">
        <v>371</v>
      </c>
      <c r="AJ28" s="373">
        <v>0</v>
      </c>
      <c r="AK28" s="373" t="e">
        <f>#REF!*0.2</f>
        <v>#REF!</v>
      </c>
      <c r="AL28" s="371"/>
      <c r="AM28" s="379"/>
      <c r="AN28" s="379"/>
      <c r="AO28" s="379"/>
      <c r="AP28" s="379"/>
      <c r="AQ28" s="371"/>
      <c r="AR28" s="371"/>
      <c r="AS28" s="371"/>
      <c r="AT28" s="382">
        <v>11</v>
      </c>
      <c r="AU28" s="382"/>
      <c r="AV28" s="382"/>
      <c r="AW28" s="382"/>
      <c r="AX28" s="382">
        <v>30</v>
      </c>
      <c r="AY28" s="382">
        <v>13</v>
      </c>
      <c r="AZ28" s="382">
        <v>30</v>
      </c>
      <c r="BA28" s="382">
        <v>250</v>
      </c>
      <c r="BB28" s="382"/>
      <c r="BC28" s="382"/>
      <c r="BD28" s="371"/>
      <c r="BE28" s="371"/>
      <c r="BF28" s="371"/>
      <c r="BG28" s="371"/>
      <c r="BH28" s="371"/>
      <c r="BI28" s="371"/>
      <c r="BJ28" s="371"/>
      <c r="BK28" s="371"/>
      <c r="BL28" s="371"/>
      <c r="BM28" s="371"/>
      <c r="BN28" s="371"/>
      <c r="BO28" s="371"/>
    </row>
    <row r="29" spans="1:67" ht="14.25" customHeight="1">
      <c r="A29" s="62"/>
      <c r="B29" s="170" t="s">
        <v>448</v>
      </c>
      <c r="C29" s="584" t="s">
        <v>484</v>
      </c>
      <c r="D29" s="585"/>
      <c r="E29" s="62"/>
      <c r="F29" s="127" t="s">
        <v>423</v>
      </c>
      <c r="G29" s="128"/>
      <c r="H29" s="168" t="str">
        <f>VLOOKUP(C3,AS3:BH20,15)</f>
        <v>нет</v>
      </c>
      <c r="I29" s="169" t="str">
        <f>IF(H29="нет","нет",IF(L7&gt;0,L7+H29,L6+H29))</f>
        <v>нет</v>
      </c>
      <c r="J29" s="100"/>
      <c r="K29" s="131" t="str">
        <f>IF(H29="нет","нет",L29*0.7)</f>
        <v>нет</v>
      </c>
      <c r="L29" s="132" t="str">
        <f>IF(H29=AL1,"нет",IF(R10=0,I29*I29*D4,(I29*I29*D4)/R10))</f>
        <v>нет</v>
      </c>
      <c r="M29" s="133" t="str">
        <f>IF(H29=AL1,"нет",L29*1.3)</f>
        <v>нет</v>
      </c>
      <c r="N29" s="100"/>
      <c r="O29" s="134" t="str">
        <f>IF(H29="нет","нет",IF(R12&gt;0,IF(K29/R11&gt;=R12,"Все",K29/R11),K29/R11))</f>
        <v>нет</v>
      </c>
      <c r="P29" s="135" t="str">
        <f>IF(H29="нет","нет",IF(R12&gt;0,IF(L29/R11&gt;=R12,"Все",L29/R11),L29/R11))</f>
        <v>нет</v>
      </c>
      <c r="Q29" s="136" t="str">
        <f>IF(H29="нет","нет",IF(R12&gt;0,IF(M29/R11&gt;=R12,"Все",M29/R11),M29/R11))</f>
        <v>нет</v>
      </c>
      <c r="R29" s="62"/>
      <c r="S29" s="62"/>
      <c r="T29" s="62"/>
      <c r="U29" s="62"/>
      <c r="V29" s="62"/>
      <c r="W29" s="427"/>
      <c r="X29" s="428"/>
      <c r="Y29" s="428"/>
      <c r="Z29" s="428"/>
      <c r="AA29" s="429"/>
      <c r="AB29" s="379"/>
      <c r="AC29" s="371"/>
      <c r="AD29" s="371" t="s">
        <v>461</v>
      </c>
      <c r="AE29" s="381">
        <v>1</v>
      </c>
      <c r="AF29" s="381">
        <f>VLOOKUP(N8,$AS$3:$BB$20,5)*AE29</f>
        <v>9</v>
      </c>
      <c r="AG29" s="371"/>
      <c r="AH29" s="371"/>
      <c r="AI29" s="373" t="s">
        <v>378</v>
      </c>
      <c r="AJ29" s="373">
        <v>0</v>
      </c>
      <c r="AK29" s="373" t="e">
        <f>#REF!*0.3</f>
        <v>#REF!</v>
      </c>
      <c r="AL29" s="371"/>
      <c r="AM29" s="379"/>
      <c r="AN29" s="379"/>
      <c r="AO29" s="379"/>
      <c r="AP29" s="379"/>
      <c r="AQ29" s="371"/>
      <c r="AR29" s="371"/>
      <c r="AS29" s="371"/>
      <c r="AT29" s="382">
        <v>12</v>
      </c>
      <c r="AU29" s="382"/>
      <c r="AV29" s="382"/>
      <c r="AW29" s="382"/>
      <c r="AX29" s="382"/>
      <c r="AY29" s="382">
        <v>14</v>
      </c>
      <c r="AZ29" s="382"/>
      <c r="BA29" s="382">
        <v>300</v>
      </c>
      <c r="BB29" s="382"/>
      <c r="BC29" s="382"/>
      <c r="BD29" s="371"/>
      <c r="BE29" s="371"/>
      <c r="BF29" s="371"/>
      <c r="BG29" s="371"/>
      <c r="BH29" s="371"/>
      <c r="BI29" s="371"/>
      <c r="BJ29" s="371"/>
      <c r="BK29" s="371"/>
      <c r="BL29" s="371"/>
      <c r="BM29" s="371"/>
      <c r="BN29" s="371"/>
      <c r="BO29" s="371"/>
    </row>
    <row r="30" spans="1:67" ht="13.5" customHeight="1" thickBot="1">
      <c r="A30" s="62"/>
      <c r="B30" s="170" t="s">
        <v>449</v>
      </c>
      <c r="C30" s="584" t="s">
        <v>235</v>
      </c>
      <c r="D30" s="585"/>
      <c r="E30" s="62"/>
      <c r="F30" s="139" t="s">
        <v>427</v>
      </c>
      <c r="G30" s="140"/>
      <c r="H30" s="171" t="str">
        <f>VLOOKUP(C3,AS3:BH20,16)</f>
        <v>нет</v>
      </c>
      <c r="I30" s="172" t="str">
        <f>IF(H30="нет","нет",IF(L7&gt;0,L7+H30,L6+H30))</f>
        <v>нет</v>
      </c>
      <c r="J30" s="100"/>
      <c r="K30" s="143" t="str">
        <f>IF(H29="нет","нет",L30*0.7)</f>
        <v>нет</v>
      </c>
      <c r="L30" s="144" t="str">
        <f>IF(H29=AL1,"нет",IF(R10=0,I30*I30*D4,(I30*I30*D4)/R10))</f>
        <v>нет</v>
      </c>
      <c r="M30" s="145" t="str">
        <f>IF(H29="нет","нет",L30*1.3)</f>
        <v>нет</v>
      </c>
      <c r="N30" s="100"/>
      <c r="O30" s="146" t="str">
        <f>IF(H29="нет","нет",IF(R12&gt;0,IF(K30/R11&gt;=R12,"Все",K30/R11),K30/R11))</f>
        <v>нет</v>
      </c>
      <c r="P30" s="147" t="str">
        <f>IF(H29="нет","нет",IF(R12&gt;0,IF(L30/R11&gt;=R12,"Все",L30/R11),L30/R11))</f>
        <v>нет</v>
      </c>
      <c r="Q30" s="148" t="str">
        <f>IF(H29="нет","нет",IF(R12&gt;0,IF(M30/R11&gt;=R12,"Все",M30/R11),M30/R11))</f>
        <v>нет</v>
      </c>
      <c r="R30" s="62"/>
      <c r="S30" s="62"/>
      <c r="T30" s="62"/>
      <c r="U30" s="62"/>
      <c r="V30" s="62"/>
      <c r="W30" s="430"/>
      <c r="X30" s="431"/>
      <c r="Y30" s="431"/>
      <c r="Z30" s="431"/>
      <c r="AA30" s="432"/>
      <c r="AB30" s="379"/>
      <c r="AC30" s="371"/>
      <c r="AD30" s="371" t="s">
        <v>464</v>
      </c>
      <c r="AE30" s="381">
        <v>1.72</v>
      </c>
      <c r="AF30" s="381">
        <f>VLOOKUP(N8,$AS$3:$BB$20,5)*AE30</f>
        <v>15.48</v>
      </c>
      <c r="AG30" s="371"/>
      <c r="AH30" s="371"/>
      <c r="AI30" s="371" t="s">
        <v>483</v>
      </c>
      <c r="AJ30" s="371">
        <v>0</v>
      </c>
      <c r="AK30" s="373" t="e">
        <f>#REF!*0.4</f>
        <v>#REF!</v>
      </c>
      <c r="AL30" s="371"/>
      <c r="AM30" s="379"/>
      <c r="AN30" s="379"/>
      <c r="AO30" s="379"/>
      <c r="AP30" s="379"/>
      <c r="AQ30" s="371"/>
      <c r="AR30" s="371"/>
      <c r="AS30" s="371"/>
      <c r="AT30" s="382">
        <v>14</v>
      </c>
      <c r="AU30" s="382"/>
      <c r="AV30" s="382"/>
      <c r="AW30" s="382"/>
      <c r="AX30" s="382"/>
      <c r="AY30" s="382">
        <v>15</v>
      </c>
      <c r="AZ30" s="382"/>
      <c r="BA30" s="382">
        <v>1000</v>
      </c>
      <c r="BB30" s="382"/>
      <c r="BC30" s="382"/>
      <c r="BD30" s="371"/>
      <c r="BE30" s="371"/>
      <c r="BF30" s="371"/>
      <c r="BG30" s="371"/>
      <c r="BH30" s="371"/>
      <c r="BI30" s="371"/>
      <c r="BJ30" s="371"/>
      <c r="BK30" s="371"/>
      <c r="BL30" s="371"/>
      <c r="BM30" s="371"/>
      <c r="BN30" s="371"/>
      <c r="BO30" s="371"/>
    </row>
    <row r="31" spans="1:67" ht="13.5" thickBot="1">
      <c r="A31" s="62"/>
      <c r="B31" s="170" t="s">
        <v>450</v>
      </c>
      <c r="C31" s="584" t="s">
        <v>498</v>
      </c>
      <c r="D31" s="585"/>
      <c r="E31" s="190">
        <f>IF(C31=AP7,2,10)</f>
        <v>10</v>
      </c>
      <c r="F31" s="139" t="s">
        <v>429</v>
      </c>
      <c r="G31" s="140"/>
      <c r="H31" s="141" t="str">
        <f>IF(H29="нет","нет",IF(C3=AS3,L6*0.2,0))</f>
        <v>нет</v>
      </c>
      <c r="I31" s="172" t="str">
        <f>IF(H31="нет","нет",IF(L7&gt;0,L7+H31,L6+H31))</f>
        <v>нет</v>
      </c>
      <c r="J31" s="100"/>
      <c r="K31" s="143" t="str">
        <f>IF(H29="нет","нет",L31*0.7)</f>
        <v>нет</v>
      </c>
      <c r="L31" s="144" t="str">
        <f>IF(H30="нет","нет",IF(R10=0,I31*I31*D4,(I31*I31*D4)/R10))</f>
        <v>нет</v>
      </c>
      <c r="M31" s="145" t="str">
        <f>IF(H29="нет","нет",L31*1.3)</f>
        <v>нет</v>
      </c>
      <c r="N31" s="100"/>
      <c r="O31" s="146" t="str">
        <f>IF(H29="нет","нет",IF(R12&gt;0,IF(K31/R11&gt;=R12,"Все",K31/R11),K31/R11))</f>
        <v>нет</v>
      </c>
      <c r="P31" s="135" t="str">
        <f>IF(H29="нет","нет",IF(R12&gt;0,IF(L31/R11&gt;=R12,"Все",L31/R11),L31/R11))</f>
        <v>нет</v>
      </c>
      <c r="Q31" s="148" t="str">
        <f>IF(H29="нет","нет",IF(R12&gt;0,IF(M31/R11&gt;=R12,"Все",M31/R11),M31/R11))</f>
        <v>нет</v>
      </c>
      <c r="R31" s="62"/>
      <c r="S31" s="62"/>
      <c r="T31" s="62"/>
      <c r="U31" s="62"/>
      <c r="V31" s="62"/>
      <c r="W31" s="173"/>
      <c r="X31" s="173"/>
      <c r="Y31" s="173"/>
      <c r="Z31" s="173"/>
      <c r="AA31" s="173"/>
      <c r="AB31" s="379"/>
      <c r="AC31" s="371"/>
      <c r="AD31" s="371" t="s">
        <v>462</v>
      </c>
      <c r="AE31" s="381">
        <v>1.3</v>
      </c>
      <c r="AF31" s="381">
        <f>VLOOKUP(N8,$AS$3:$BB$20,5)*AE31</f>
        <v>11.700000000000001</v>
      </c>
      <c r="AG31" s="371"/>
      <c r="AH31" s="371"/>
      <c r="AI31" s="373" t="s">
        <v>235</v>
      </c>
      <c r="AJ31" s="373">
        <v>0</v>
      </c>
      <c r="AK31" s="371" t="e">
        <f>VLOOKUP(#REF!,AI18:AK26,3)</f>
        <v>#REF!</v>
      </c>
      <c r="AL31" s="371"/>
      <c r="AM31" s="379"/>
      <c r="AN31" s="379"/>
      <c r="AO31" s="379"/>
      <c r="AP31" s="379"/>
      <c r="AQ31" s="371"/>
      <c r="AR31" s="371"/>
      <c r="AS31" s="371"/>
      <c r="AT31" s="382">
        <v>20</v>
      </c>
      <c r="AU31" s="382"/>
      <c r="AV31" s="382"/>
      <c r="AW31" s="382"/>
      <c r="AX31" s="382"/>
      <c r="AY31" s="382">
        <v>20</v>
      </c>
      <c r="AZ31" s="382"/>
      <c r="BA31" s="382">
        <v>1500</v>
      </c>
      <c r="BB31" s="382"/>
      <c r="BC31" s="382"/>
      <c r="BD31" s="371"/>
      <c r="BE31" s="371"/>
      <c r="BF31" s="371"/>
      <c r="BG31" s="371"/>
      <c r="BH31" s="371"/>
      <c r="BI31" s="371"/>
      <c r="BJ31" s="371"/>
      <c r="BK31" s="371"/>
      <c r="BL31" s="371"/>
      <c r="BM31" s="371"/>
      <c r="BN31" s="371"/>
      <c r="BO31" s="371"/>
    </row>
    <row r="32" spans="1:67" ht="13.5" thickBot="1">
      <c r="A32" s="62"/>
      <c r="B32" s="106" t="s">
        <v>451</v>
      </c>
      <c r="C32" s="586" t="s">
        <v>482</v>
      </c>
      <c r="D32" s="587"/>
      <c r="E32" s="62"/>
      <c r="F32" s="139" t="s">
        <v>432</v>
      </c>
      <c r="G32" s="140"/>
      <c r="H32" s="141" t="str">
        <f>IF(H29="нет","нет",IF(C3=AS10,-L6*0.3,IF(C3=AS16,L6*0.5,0)))</f>
        <v>нет</v>
      </c>
      <c r="I32" s="172" t="str">
        <f>IF(H32="нет","нет",IF(L7&gt;0,L7+H32,L6+H32))</f>
        <v>нет</v>
      </c>
      <c r="J32" s="100"/>
      <c r="K32" s="143" t="str">
        <f>IF(H29="нет","нет",L32*0.7)</f>
        <v>нет</v>
      </c>
      <c r="L32" s="144" t="str">
        <f>IF(H31="нет","нет",IF(R10=0,I32*I32*D4,(I32*I32*D4)/R10))</f>
        <v>нет</v>
      </c>
      <c r="M32" s="145" t="str">
        <f>IF(H29="нет","нет",L32*1.3)</f>
        <v>нет</v>
      </c>
      <c r="N32" s="100"/>
      <c r="O32" s="146" t="str">
        <f>IF(H29="нет","нет",IF(R12&gt;0,IF(K32/R11&gt;=R12,"Все",K32/R11),K32/R11))</f>
        <v>нет</v>
      </c>
      <c r="P32" s="147" t="str">
        <f>IF(H29="нет","нет",IF(R12&gt;0,IF(L32/R11&gt;=R12,"Все",L32/R11),L32/R11))</f>
        <v>нет</v>
      </c>
      <c r="Q32" s="148" t="str">
        <f>IF(H29="нет","нет",IF(R12&gt;0,IF(M32/R11&gt;=R12,"Все",M32/R11),M32/R11))</f>
        <v>нет</v>
      </c>
      <c r="R32" s="62"/>
      <c r="S32" s="62"/>
      <c r="T32" s="62"/>
      <c r="U32" s="62"/>
      <c r="V32" s="62"/>
      <c r="W32" s="386" t="s">
        <v>61</v>
      </c>
      <c r="X32" s="387"/>
      <c r="Y32" s="387"/>
      <c r="Z32" s="387"/>
      <c r="AA32" s="388"/>
      <c r="AB32" s="379"/>
      <c r="AC32" s="371"/>
      <c r="AD32" s="371" t="s">
        <v>463</v>
      </c>
      <c r="AE32" s="381">
        <v>1.54</v>
      </c>
      <c r="AF32" s="381">
        <f>VLOOKUP(N8,$AS$3:$BB$20,5)*AE32</f>
        <v>13.86</v>
      </c>
      <c r="AG32" s="371"/>
      <c r="AH32" s="371"/>
      <c r="AI32" s="373" t="s">
        <v>392</v>
      </c>
      <c r="AJ32" s="373">
        <f>D13*0.1</f>
        <v>0.6000000000000001</v>
      </c>
      <c r="AK32" s="371" t="e">
        <f>VLOOKUP(#REF!,AI26:AK30,3)</f>
        <v>#REF!</v>
      </c>
      <c r="AL32" s="371"/>
      <c r="AM32" s="371"/>
      <c r="AN32" s="371"/>
      <c r="AO32" s="371"/>
      <c r="AP32" s="371"/>
      <c r="AQ32" s="371"/>
      <c r="AR32" s="371"/>
      <c r="AS32" s="371"/>
      <c r="AT32" s="382"/>
      <c r="AU32" s="382"/>
      <c r="AV32" s="382"/>
      <c r="AW32" s="382"/>
      <c r="AX32" s="382"/>
      <c r="AY32" s="382">
        <v>22</v>
      </c>
      <c r="AZ32" s="382"/>
      <c r="BA32" s="382">
        <v>5000</v>
      </c>
      <c r="BB32" s="382"/>
      <c r="BC32" s="382"/>
      <c r="BD32" s="371"/>
      <c r="BE32" s="371"/>
      <c r="BF32" s="371"/>
      <c r="BG32" s="371"/>
      <c r="BH32" s="371"/>
      <c r="BI32" s="371"/>
      <c r="BJ32" s="371"/>
      <c r="BK32" s="371"/>
      <c r="BL32" s="371"/>
      <c r="BM32" s="371"/>
      <c r="BN32" s="371"/>
      <c r="BO32" s="371"/>
    </row>
    <row r="33" spans="1:67" ht="15" customHeight="1">
      <c r="A33" s="62"/>
      <c r="B33" s="191"/>
      <c r="C33" s="191"/>
      <c r="D33" s="191"/>
      <c r="E33" s="186"/>
      <c r="F33" s="139" t="s">
        <v>435</v>
      </c>
      <c r="G33" s="140"/>
      <c r="H33" s="141" t="str">
        <f>IF(H29="нет","нет",IF(C3=AS3,L6*0.5,0))</f>
        <v>нет</v>
      </c>
      <c r="I33" s="172" t="str">
        <f>IF(H33="нет","нет",IF(L7&gt;0,L7+H33,L6+H33))</f>
        <v>нет</v>
      </c>
      <c r="J33" s="100"/>
      <c r="K33" s="143" t="str">
        <f>IF(H29="нет","нет",L33*0.7)</f>
        <v>нет</v>
      </c>
      <c r="L33" s="144" t="str">
        <f>IF(H32="нет","нет",IF(R10=0,I33*I33*D4,(I33*I33*D4)/R10))</f>
        <v>нет</v>
      </c>
      <c r="M33" s="145" t="str">
        <f>IF(H29="нет","нет",L33*1.3)</f>
        <v>нет</v>
      </c>
      <c r="N33" s="100"/>
      <c r="O33" s="146" t="str">
        <f>IF(H29="нет","нет",IF(R12&gt;0,IF(K33/R11&gt;=R12,"Все",K33/R11),K33/R11))</f>
        <v>нет</v>
      </c>
      <c r="P33" s="147" t="str">
        <f>IF(H29="нет","нет",IF(R12&gt;0,IF(L33/R11&gt;=R12,"Все",L33/R11),L33/R11))</f>
        <v>нет</v>
      </c>
      <c r="Q33" s="148" t="str">
        <f>IF(H29="нет","нет",IF(R12&gt;0,IF(M33/R11&gt;=R12,"Все",M33/R11),M33/R11))</f>
        <v>нет</v>
      </c>
      <c r="R33" s="62"/>
      <c r="S33" s="62"/>
      <c r="T33" s="62"/>
      <c r="U33" s="62"/>
      <c r="V33" s="62"/>
      <c r="W33" s="389"/>
      <c r="X33" s="390"/>
      <c r="Y33" s="390"/>
      <c r="Z33" s="390"/>
      <c r="AA33" s="391"/>
      <c r="AB33" s="379"/>
      <c r="AC33" s="371"/>
      <c r="AD33" s="371"/>
      <c r="AE33" s="371"/>
      <c r="AF33" s="371"/>
      <c r="AG33" s="371"/>
      <c r="AH33" s="371"/>
      <c r="AI33" s="373" t="s">
        <v>398</v>
      </c>
      <c r="AJ33" s="373">
        <f>D13*0.2</f>
        <v>1.2000000000000002</v>
      </c>
      <c r="AK33" s="371"/>
      <c r="AL33" s="371"/>
      <c r="AM33" s="371"/>
      <c r="AN33" s="371"/>
      <c r="AO33" s="371"/>
      <c r="AP33" s="371"/>
      <c r="AQ33" s="371"/>
      <c r="AR33" s="371"/>
      <c r="AS33" s="371"/>
      <c r="AT33" s="382"/>
      <c r="AU33" s="382"/>
      <c r="AV33" s="382"/>
      <c r="AW33" s="382"/>
      <c r="AX33" s="382"/>
      <c r="AY33" s="382">
        <v>40</v>
      </c>
      <c r="AZ33" s="382"/>
      <c r="BA33" s="382"/>
      <c r="BB33" s="382"/>
      <c r="BC33" s="382"/>
      <c r="BD33" s="371"/>
      <c r="BE33" s="371"/>
      <c r="BF33" s="371"/>
      <c r="BG33" s="371"/>
      <c r="BH33" s="371"/>
      <c r="BI33" s="371"/>
      <c r="BJ33" s="371"/>
      <c r="BK33" s="371"/>
      <c r="BL33" s="371"/>
      <c r="BM33" s="371"/>
      <c r="BN33" s="371"/>
      <c r="BO33" s="371"/>
    </row>
    <row r="34" spans="1:67" ht="13.5" thickBot="1">
      <c r="A34" s="62"/>
      <c r="B34" s="192"/>
      <c r="C34" s="192"/>
      <c r="D34" s="192"/>
      <c r="E34" s="186"/>
      <c r="F34" s="151" t="s">
        <v>437</v>
      </c>
      <c r="G34" s="152"/>
      <c r="H34" s="153" t="str">
        <f>IF(H29="нет","нет",IF(C3=AS3,L5*0.35,IF(C3=AS10,-L5*0.3,IF(C3=AS16,L5*0.4,0))))</f>
        <v>нет</v>
      </c>
      <c r="I34" s="174" t="str">
        <f>IF(H34="нет","нет",IF(L7&gt;0,L7+H34,L6+H34))</f>
        <v>нет</v>
      </c>
      <c r="J34" s="155"/>
      <c r="K34" s="156" t="str">
        <f>IF(H29="нет","нет",L34*0.7)</f>
        <v>нет</v>
      </c>
      <c r="L34" s="175" t="str">
        <f>IF(H33="нет","нет",IF(R10=0,I34*I34*D4,(I34*I34*D4)/R10))</f>
        <v>нет</v>
      </c>
      <c r="M34" s="158" t="str">
        <f>IF(H29="нет","нет",L34*1.3)</f>
        <v>нет</v>
      </c>
      <c r="N34" s="107"/>
      <c r="O34" s="159" t="str">
        <f>IF(H29="нет","нет",IF(R12&gt;0,IF(K34/R11&gt;=R12,"Все",K34/R11),K34/R11))</f>
        <v>нет</v>
      </c>
      <c r="P34" s="160" t="str">
        <f>IF(H29="нет","нет",IF(R12&gt;0,IF(L34/R11&gt;=R12,"Все",L34/R11),L34/R11))</f>
        <v>нет</v>
      </c>
      <c r="Q34" s="161" t="str">
        <f>IF(H29="нет","нет",IF(R12&gt;0,IF(M34/R11&gt;=R12,"Все",M34/R11),M34/R11))</f>
        <v>нет</v>
      </c>
      <c r="R34" s="62"/>
      <c r="S34" s="62"/>
      <c r="T34" s="62"/>
      <c r="U34" s="62"/>
      <c r="V34" s="62"/>
      <c r="W34" s="389"/>
      <c r="X34" s="390"/>
      <c r="Y34" s="390"/>
      <c r="Z34" s="390"/>
      <c r="AA34" s="391"/>
      <c r="AB34" s="379"/>
      <c r="AC34" s="371"/>
      <c r="AD34" s="371"/>
      <c r="AE34" s="371"/>
      <c r="AF34" s="371"/>
      <c r="AG34" s="371"/>
      <c r="AH34" s="371"/>
      <c r="AI34" s="373" t="s">
        <v>402</v>
      </c>
      <c r="AJ34" s="373">
        <f>D13*0.3</f>
        <v>1.7999999999999998</v>
      </c>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1"/>
      <c r="BN34" s="371"/>
      <c r="BO34" s="371"/>
    </row>
    <row r="35" spans="1:67" ht="18" customHeight="1">
      <c r="A35" s="62"/>
      <c r="B35" s="588" t="s">
        <v>301</v>
      </c>
      <c r="C35" s="588"/>
      <c r="D35" s="588"/>
      <c r="E35" s="588"/>
      <c r="F35" s="588"/>
      <c r="G35" s="588"/>
      <c r="H35" s="588"/>
      <c r="I35" s="588"/>
      <c r="J35" s="588"/>
      <c r="K35" s="588"/>
      <c r="L35" s="588"/>
      <c r="M35" s="588"/>
      <c r="N35" s="588"/>
      <c r="O35" s="588"/>
      <c r="P35" s="588"/>
      <c r="Q35" s="186"/>
      <c r="R35" s="62"/>
      <c r="S35" s="62"/>
      <c r="T35" s="62"/>
      <c r="U35" s="62"/>
      <c r="V35" s="62"/>
      <c r="W35" s="389"/>
      <c r="X35" s="390"/>
      <c r="Y35" s="390"/>
      <c r="Z35" s="390"/>
      <c r="AA35" s="391"/>
      <c r="AB35" s="379"/>
      <c r="AC35" s="371"/>
      <c r="AD35" s="371"/>
      <c r="AE35" s="371"/>
      <c r="AF35" s="371"/>
      <c r="AG35" s="371"/>
      <c r="AH35" s="371"/>
      <c r="AI35" s="373" t="s">
        <v>409</v>
      </c>
      <c r="AJ35" s="373">
        <f>D13*0.4</f>
        <v>2.4000000000000004</v>
      </c>
      <c r="AK35" s="371"/>
      <c r="AL35" s="371"/>
      <c r="AM35" s="371"/>
      <c r="AN35" s="371"/>
      <c r="AO35" s="371"/>
      <c r="AP35" s="371"/>
      <c r="AQ35" s="371"/>
      <c r="AR35" s="371"/>
      <c r="AS35" s="371"/>
      <c r="AT35" s="371"/>
      <c r="AU35" s="371"/>
      <c r="AV35" s="371"/>
      <c r="AW35" s="371"/>
      <c r="AX35" s="371"/>
      <c r="AY35" s="371"/>
      <c r="AZ35" s="371"/>
      <c r="BA35" s="371"/>
      <c r="BB35" s="371"/>
      <c r="BC35" s="371"/>
      <c r="BD35" s="371"/>
      <c r="BE35" s="371"/>
      <c r="BF35" s="371"/>
      <c r="BG35" s="371"/>
      <c r="BH35" s="371"/>
      <c r="BI35" s="371"/>
      <c r="BJ35" s="371"/>
      <c r="BK35" s="371"/>
      <c r="BL35" s="371"/>
      <c r="BM35" s="371"/>
      <c r="BN35" s="371"/>
      <c r="BO35" s="371"/>
    </row>
    <row r="36" spans="1:67" ht="13.5" thickBot="1">
      <c r="A36" s="62"/>
      <c r="B36" s="192"/>
      <c r="C36" s="192"/>
      <c r="D36" s="192"/>
      <c r="E36" s="62"/>
      <c r="F36" s="62"/>
      <c r="G36" s="62"/>
      <c r="H36" s="62"/>
      <c r="I36" s="62"/>
      <c r="J36" s="176"/>
      <c r="K36" s="176"/>
      <c r="L36" s="176"/>
      <c r="M36" s="62"/>
      <c r="N36" s="62"/>
      <c r="O36" s="62"/>
      <c r="P36" s="62"/>
      <c r="Q36" s="62"/>
      <c r="R36" s="62"/>
      <c r="S36" s="62"/>
      <c r="T36" s="62"/>
      <c r="U36" s="62"/>
      <c r="V36" s="62"/>
      <c r="W36" s="392"/>
      <c r="X36" s="393"/>
      <c r="Y36" s="393"/>
      <c r="Z36" s="393"/>
      <c r="AA36" s="394"/>
      <c r="AB36" s="379"/>
      <c r="AC36" s="371"/>
      <c r="AD36" s="371"/>
      <c r="AE36" s="371"/>
      <c r="AF36" s="371"/>
      <c r="AG36" s="371"/>
      <c r="AH36" s="371"/>
      <c r="AI36" s="373" t="s">
        <v>485</v>
      </c>
      <c r="AJ36" s="373">
        <f>D13*0.5</f>
        <v>3</v>
      </c>
      <c r="AK36" s="371"/>
      <c r="AL36" s="371"/>
      <c r="AM36" s="371"/>
      <c r="AN36" s="371"/>
      <c r="AO36" s="371"/>
      <c r="AP36" s="371"/>
      <c r="AQ36" s="371"/>
      <c r="AR36" s="371"/>
      <c r="AS36" s="371"/>
      <c r="AT36" s="371"/>
      <c r="AU36" s="371"/>
      <c r="AV36" s="371"/>
      <c r="AW36" s="371"/>
      <c r="AX36" s="371"/>
      <c r="AY36" s="371"/>
      <c r="AZ36" s="371"/>
      <c r="BA36" s="371"/>
      <c r="BB36" s="371"/>
      <c r="BC36" s="371"/>
      <c r="BD36" s="371"/>
      <c r="BE36" s="371"/>
      <c r="BF36" s="371"/>
      <c r="BG36" s="371"/>
      <c r="BH36" s="371"/>
      <c r="BI36" s="371"/>
      <c r="BJ36" s="371"/>
      <c r="BK36" s="371"/>
      <c r="BL36" s="371"/>
      <c r="BM36" s="371"/>
      <c r="BN36" s="371"/>
      <c r="BO36" s="371"/>
    </row>
    <row r="37" spans="1:67" ht="15.75" customHeight="1" thickBot="1">
      <c r="A37" s="62"/>
      <c r="B37" s="192"/>
      <c r="C37" s="192"/>
      <c r="D37" s="192"/>
      <c r="E37" s="368" t="s">
        <v>500</v>
      </c>
      <c r="F37" s="62"/>
      <c r="G37" s="62"/>
      <c r="H37" s="62"/>
      <c r="I37" s="62"/>
      <c r="J37" s="62"/>
      <c r="K37" s="62"/>
      <c r="L37" s="62"/>
      <c r="M37" s="62"/>
      <c r="N37" s="62"/>
      <c r="O37" s="62"/>
      <c r="P37" s="62"/>
      <c r="Q37" s="62"/>
      <c r="R37" s="62"/>
      <c r="S37" s="62"/>
      <c r="T37" s="62"/>
      <c r="U37" s="62"/>
      <c r="V37" s="62"/>
      <c r="W37" s="62"/>
      <c r="X37" s="62"/>
      <c r="Y37" s="62"/>
      <c r="Z37" s="62"/>
      <c r="AA37" s="62"/>
      <c r="AB37" s="379"/>
      <c r="AC37" s="371"/>
      <c r="AD37" s="371"/>
      <c r="AE37" s="371"/>
      <c r="AF37" s="371"/>
      <c r="AG37" s="371"/>
      <c r="AH37" s="371"/>
      <c r="AI37" s="374" t="s">
        <v>415</v>
      </c>
      <c r="AJ37" s="372">
        <f>VLOOKUP(C29,AI21:AJ31,2)</f>
        <v>2.4000000000000004</v>
      </c>
      <c r="AK37" s="371"/>
      <c r="AL37" s="371"/>
      <c r="AM37" s="371"/>
      <c r="AN37" s="371"/>
      <c r="AO37" s="371"/>
      <c r="AP37" s="371"/>
      <c r="AQ37" s="371"/>
      <c r="AR37" s="371"/>
      <c r="AS37" s="371"/>
      <c r="AT37" s="371"/>
      <c r="AU37" s="371"/>
      <c r="AV37" s="371"/>
      <c r="AW37" s="371"/>
      <c r="AX37" s="371"/>
      <c r="AY37" s="371"/>
      <c r="AZ37" s="371"/>
      <c r="BA37" s="371"/>
      <c r="BB37" s="371"/>
      <c r="BC37" s="371"/>
      <c r="BD37" s="371"/>
      <c r="BE37" s="371"/>
      <c r="BF37" s="371"/>
      <c r="BG37" s="371"/>
      <c r="BH37" s="371"/>
      <c r="BI37" s="371"/>
      <c r="BJ37" s="371"/>
      <c r="BK37" s="371"/>
      <c r="BL37" s="371"/>
      <c r="BM37" s="371"/>
      <c r="BN37" s="371"/>
      <c r="BO37" s="371"/>
    </row>
    <row r="38" spans="1:67" ht="12.75">
      <c r="A38" s="201"/>
      <c r="B38" s="192"/>
      <c r="C38" s="192"/>
      <c r="D38" s="192"/>
      <c r="E38" s="201"/>
      <c r="F38" s="62"/>
      <c r="G38" s="62"/>
      <c r="H38" s="62"/>
      <c r="I38" s="62"/>
      <c r="J38" s="62"/>
      <c r="K38" s="62"/>
      <c r="L38" s="62"/>
      <c r="M38" s="62"/>
      <c r="N38" s="62"/>
      <c r="O38" s="62"/>
      <c r="P38" s="62"/>
      <c r="Q38" s="62"/>
      <c r="R38" s="62"/>
      <c r="S38" s="201"/>
      <c r="T38" s="201"/>
      <c r="U38" s="201"/>
      <c r="V38" s="201"/>
      <c r="W38" s="386" t="s">
        <v>466</v>
      </c>
      <c r="X38" s="387"/>
      <c r="Y38" s="387"/>
      <c r="Z38" s="387"/>
      <c r="AA38" s="388"/>
      <c r="AB38" s="371"/>
      <c r="AC38" s="371"/>
      <c r="AD38" s="371"/>
      <c r="AE38" s="371"/>
      <c r="AF38" s="371"/>
      <c r="AG38" s="379"/>
      <c r="AH38" s="379"/>
      <c r="AI38" s="374" t="s">
        <v>421</v>
      </c>
      <c r="AJ38" s="372">
        <f>VLOOKUP(C28,AI31:AJ36,2)</f>
        <v>3</v>
      </c>
      <c r="AK38" s="379"/>
      <c r="AL38" s="379"/>
      <c r="AM38" s="371"/>
      <c r="AN38" s="371"/>
      <c r="AO38" s="371"/>
      <c r="AP38" s="371"/>
      <c r="AQ38" s="379"/>
      <c r="AR38" s="379"/>
      <c r="AS38" s="379"/>
      <c r="AT38" s="379"/>
      <c r="AU38" s="379"/>
      <c r="AV38" s="379"/>
      <c r="AW38" s="379"/>
      <c r="AX38" s="379"/>
      <c r="AY38" s="379"/>
      <c r="AZ38" s="379"/>
      <c r="BA38" s="379"/>
      <c r="BB38" s="379"/>
      <c r="BC38" s="379"/>
      <c r="BD38" s="379"/>
      <c r="BE38" s="379"/>
      <c r="BF38" s="379"/>
      <c r="BG38" s="379"/>
      <c r="BH38" s="379"/>
      <c r="BI38" s="379"/>
      <c r="BJ38" s="379"/>
      <c r="BK38" s="379"/>
      <c r="BL38" s="379"/>
      <c r="BM38" s="379"/>
      <c r="BN38" s="379"/>
      <c r="BO38" s="379"/>
    </row>
    <row r="39" spans="1:67" ht="12.75">
      <c r="A39" s="201"/>
      <c r="B39" s="192"/>
      <c r="C39" s="192"/>
      <c r="D39" s="192"/>
      <c r="E39" s="201"/>
      <c r="F39" s="62"/>
      <c r="G39" s="62"/>
      <c r="H39" s="62"/>
      <c r="I39" s="62"/>
      <c r="J39" s="62"/>
      <c r="K39" s="62"/>
      <c r="L39" s="62"/>
      <c r="M39" s="62"/>
      <c r="N39" s="62"/>
      <c r="O39" s="62"/>
      <c r="P39" s="62"/>
      <c r="Q39" s="62"/>
      <c r="R39" s="62"/>
      <c r="S39" s="201"/>
      <c r="T39" s="201"/>
      <c r="U39" s="201"/>
      <c r="V39" s="201"/>
      <c r="W39" s="389"/>
      <c r="X39" s="390"/>
      <c r="Y39" s="390"/>
      <c r="Z39" s="390"/>
      <c r="AA39" s="391"/>
      <c r="AB39" s="371"/>
      <c r="AC39" s="371"/>
      <c r="AD39" s="371"/>
      <c r="AE39" s="371"/>
      <c r="AF39" s="371"/>
      <c r="AG39" s="379"/>
      <c r="AH39" s="379"/>
      <c r="AI39" s="379"/>
      <c r="AJ39" s="379"/>
      <c r="AK39" s="379"/>
      <c r="AL39" s="379"/>
      <c r="AM39" s="371"/>
      <c r="AN39" s="371"/>
      <c r="AO39" s="371"/>
      <c r="AP39" s="371"/>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row>
    <row r="40" spans="1:67" ht="12.75">
      <c r="A40" s="201"/>
      <c r="B40" s="192"/>
      <c r="C40" s="192"/>
      <c r="D40" s="192"/>
      <c r="E40" s="201"/>
      <c r="F40" s="62"/>
      <c r="G40" s="62"/>
      <c r="H40" s="62"/>
      <c r="I40" s="62"/>
      <c r="J40" s="62"/>
      <c r="K40" s="62"/>
      <c r="L40" s="62"/>
      <c r="M40" s="62"/>
      <c r="N40" s="62"/>
      <c r="O40" s="62"/>
      <c r="P40" s="62"/>
      <c r="Q40" s="62"/>
      <c r="R40" s="62"/>
      <c r="S40" s="201"/>
      <c r="T40" s="201"/>
      <c r="U40" s="201"/>
      <c r="V40" s="201"/>
      <c r="W40" s="389"/>
      <c r="X40" s="390"/>
      <c r="Y40" s="390"/>
      <c r="Z40" s="390"/>
      <c r="AA40" s="391"/>
      <c r="AB40" s="371"/>
      <c r="AC40" s="371"/>
      <c r="AD40" s="371"/>
      <c r="AE40" s="371"/>
      <c r="AF40" s="371"/>
      <c r="AG40" s="379"/>
      <c r="AH40" s="379"/>
      <c r="AI40" s="379"/>
      <c r="AJ40" s="379"/>
      <c r="AK40" s="379"/>
      <c r="AL40" s="379"/>
      <c r="AM40" s="371"/>
      <c r="AN40" s="371"/>
      <c r="AO40" s="371"/>
      <c r="AP40" s="371"/>
      <c r="AQ40" s="379"/>
      <c r="AR40" s="379"/>
      <c r="AS40" s="379"/>
      <c r="AT40" s="379"/>
      <c r="AU40" s="379"/>
      <c r="AV40" s="379"/>
      <c r="AW40" s="379"/>
      <c r="AX40" s="379"/>
      <c r="AY40" s="379"/>
      <c r="AZ40" s="379"/>
      <c r="BA40" s="379"/>
      <c r="BB40" s="379"/>
      <c r="BC40" s="379"/>
      <c r="BD40" s="379"/>
      <c r="BE40" s="379"/>
      <c r="BF40" s="379"/>
      <c r="BG40" s="379"/>
      <c r="BH40" s="379"/>
      <c r="BI40" s="379"/>
      <c r="BJ40" s="379"/>
      <c r="BK40" s="379"/>
      <c r="BL40" s="379"/>
      <c r="BM40" s="379"/>
      <c r="BN40" s="379"/>
      <c r="BO40" s="379"/>
    </row>
    <row r="41" spans="1:67" ht="12.75">
      <c r="A41" s="201"/>
      <c r="B41" s="192"/>
      <c r="C41" s="192"/>
      <c r="D41" s="192"/>
      <c r="E41" s="201"/>
      <c r="F41" s="62"/>
      <c r="G41" s="62"/>
      <c r="H41" s="62"/>
      <c r="I41" s="62"/>
      <c r="J41" s="62"/>
      <c r="K41" s="62"/>
      <c r="L41" s="62"/>
      <c r="M41" s="62"/>
      <c r="N41" s="62"/>
      <c r="O41" s="62"/>
      <c r="P41" s="62"/>
      <c r="Q41" s="62"/>
      <c r="R41" s="62"/>
      <c r="S41" s="201"/>
      <c r="T41" s="201"/>
      <c r="U41" s="201"/>
      <c r="V41" s="201"/>
      <c r="W41" s="389"/>
      <c r="X41" s="390"/>
      <c r="Y41" s="390"/>
      <c r="Z41" s="390"/>
      <c r="AA41" s="391"/>
      <c r="AB41" s="371"/>
      <c r="AC41" s="371"/>
      <c r="AD41" s="371"/>
      <c r="AE41" s="371"/>
      <c r="AF41" s="371"/>
      <c r="AG41" s="379"/>
      <c r="AH41" s="379"/>
      <c r="AI41" s="379"/>
      <c r="AJ41" s="379"/>
      <c r="AK41" s="379"/>
      <c r="AL41" s="379"/>
      <c r="AM41" s="371"/>
      <c r="AN41" s="371"/>
      <c r="AO41" s="371"/>
      <c r="AP41" s="371"/>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row>
    <row r="42" spans="1:67" ht="13.5" thickBot="1">
      <c r="A42" s="202"/>
      <c r="B42" s="192"/>
      <c r="C42" s="192"/>
      <c r="D42" s="192"/>
      <c r="E42" s="201"/>
      <c r="F42" s="62"/>
      <c r="G42" s="62"/>
      <c r="H42" s="62"/>
      <c r="I42" s="62"/>
      <c r="J42" s="62"/>
      <c r="K42" s="62"/>
      <c r="L42" s="62"/>
      <c r="M42" s="62"/>
      <c r="N42" s="62"/>
      <c r="O42" s="62"/>
      <c r="P42" s="62"/>
      <c r="Q42" s="62"/>
      <c r="R42" s="62"/>
      <c r="S42" s="62"/>
      <c r="T42" s="62"/>
      <c r="U42" s="62"/>
      <c r="V42" s="62"/>
      <c r="W42" s="392"/>
      <c r="X42" s="393"/>
      <c r="Y42" s="393"/>
      <c r="Z42" s="393"/>
      <c r="AA42" s="394"/>
      <c r="AB42" s="371"/>
      <c r="AC42" s="371"/>
      <c r="AD42" s="371"/>
      <c r="AE42" s="371"/>
      <c r="AF42" s="371"/>
      <c r="AG42" s="379"/>
      <c r="AH42" s="379"/>
      <c r="AI42" s="379"/>
      <c r="AJ42" s="379"/>
      <c r="AK42" s="379"/>
      <c r="AL42" s="379"/>
      <c r="AM42" s="371"/>
      <c r="AN42" s="371"/>
      <c r="AO42" s="371"/>
      <c r="AP42" s="371"/>
      <c r="AQ42" s="379"/>
      <c r="AR42" s="379"/>
      <c r="AS42" s="379"/>
      <c r="AT42" s="379"/>
      <c r="AU42" s="379"/>
      <c r="AV42" s="379"/>
      <c r="AW42" s="379"/>
      <c r="AX42" s="379"/>
      <c r="AY42" s="379"/>
      <c r="AZ42" s="379"/>
      <c r="BA42" s="379"/>
      <c r="BB42" s="379"/>
      <c r="BC42" s="379"/>
      <c r="BD42" s="379"/>
      <c r="BE42" s="379"/>
      <c r="BF42" s="379"/>
      <c r="BG42" s="379"/>
      <c r="BH42" s="379"/>
      <c r="BI42" s="379"/>
      <c r="BJ42" s="379"/>
      <c r="BK42" s="379"/>
      <c r="BL42" s="379"/>
      <c r="BM42" s="379"/>
      <c r="BN42" s="379"/>
      <c r="BO42" s="379"/>
    </row>
    <row r="43" spans="1:67" ht="12.75">
      <c r="A43" s="201"/>
      <c r="B43" s="192"/>
      <c r="C43" s="192"/>
      <c r="D43" s="192"/>
      <c r="E43" s="201"/>
      <c r="F43" s="62"/>
      <c r="G43" s="62"/>
      <c r="H43" s="62"/>
      <c r="I43" s="62"/>
      <c r="J43" s="62"/>
      <c r="K43" s="62"/>
      <c r="L43" s="62"/>
      <c r="M43" s="62"/>
      <c r="N43" s="62"/>
      <c r="O43" s="62"/>
      <c r="P43" s="62"/>
      <c r="Q43" s="62"/>
      <c r="R43" s="62"/>
      <c r="S43" s="62"/>
      <c r="T43" s="62"/>
      <c r="U43" s="62"/>
      <c r="V43" s="62"/>
      <c r="W43" s="62"/>
      <c r="X43" s="201"/>
      <c r="Y43" s="201"/>
      <c r="Z43" s="201"/>
      <c r="AA43" s="201"/>
      <c r="AB43" s="371"/>
      <c r="AC43" s="371"/>
      <c r="AD43" s="371"/>
      <c r="AE43" s="371"/>
      <c r="AF43" s="371"/>
      <c r="AG43" s="379"/>
      <c r="AH43" s="379"/>
      <c r="AI43" s="379"/>
      <c r="AJ43" s="379"/>
      <c r="AK43" s="379"/>
      <c r="AL43" s="379"/>
      <c r="AM43" s="371"/>
      <c r="AN43" s="371"/>
      <c r="AO43" s="371"/>
      <c r="AP43" s="371"/>
      <c r="AQ43" s="379"/>
      <c r="AR43" s="379"/>
      <c r="AS43" s="379"/>
      <c r="AT43" s="379"/>
      <c r="AU43" s="379"/>
      <c r="AV43" s="379"/>
      <c r="AW43" s="379"/>
      <c r="AX43" s="379"/>
      <c r="AY43" s="379"/>
      <c r="AZ43" s="379"/>
      <c r="BA43" s="379"/>
      <c r="BB43" s="379"/>
      <c r="BC43" s="379"/>
      <c r="BD43" s="379"/>
      <c r="BE43" s="379"/>
      <c r="BF43" s="379"/>
      <c r="BG43" s="379"/>
      <c r="BH43" s="379"/>
      <c r="BI43" s="379"/>
      <c r="BJ43" s="379"/>
      <c r="BK43" s="379"/>
      <c r="BL43" s="379"/>
      <c r="BM43" s="379"/>
      <c r="BN43" s="379"/>
      <c r="BO43" s="379"/>
    </row>
    <row r="44" spans="1:67" ht="12.75">
      <c r="A44" s="64"/>
      <c r="B44" s="193"/>
      <c r="C44" s="193"/>
      <c r="D44" s="193"/>
      <c r="E44" s="64"/>
      <c r="X44" s="64"/>
      <c r="Y44" s="64"/>
      <c r="Z44" s="64"/>
      <c r="AA44" s="64"/>
      <c r="AB44" s="371"/>
      <c r="AC44" s="371"/>
      <c r="AD44" s="371"/>
      <c r="AE44" s="371"/>
      <c r="AF44" s="371"/>
      <c r="AG44" s="379"/>
      <c r="AH44" s="379"/>
      <c r="AI44" s="379"/>
      <c r="AJ44" s="379"/>
      <c r="AK44" s="379"/>
      <c r="AL44" s="379"/>
      <c r="AM44" s="371"/>
      <c r="AN44" s="371"/>
      <c r="AO44" s="371"/>
      <c r="AP44" s="371"/>
      <c r="AQ44" s="379"/>
      <c r="AR44" s="379"/>
      <c r="AS44" s="379"/>
      <c r="AT44" s="379"/>
      <c r="AU44" s="379"/>
      <c r="AV44" s="379"/>
      <c r="AW44" s="379"/>
      <c r="AX44" s="379"/>
      <c r="AY44" s="379"/>
      <c r="AZ44" s="379"/>
      <c r="BA44" s="379"/>
      <c r="BB44" s="379"/>
      <c r="BC44" s="379"/>
      <c r="BD44" s="379"/>
      <c r="BE44" s="379"/>
      <c r="BF44" s="379"/>
      <c r="BG44" s="379"/>
      <c r="BH44" s="379"/>
      <c r="BI44" s="379"/>
      <c r="BJ44" s="379"/>
      <c r="BK44" s="379"/>
      <c r="BL44" s="379"/>
      <c r="BM44" s="379"/>
      <c r="BN44" s="379"/>
      <c r="BO44" s="379"/>
    </row>
    <row r="45" spans="1:67" ht="12.75">
      <c r="A45" s="64"/>
      <c r="B45" s="193"/>
      <c r="C45" s="193"/>
      <c r="D45" s="193"/>
      <c r="E45" s="64"/>
      <c r="X45" s="64"/>
      <c r="Y45" s="64"/>
      <c r="Z45" s="64"/>
      <c r="AA45" s="64"/>
      <c r="AB45" s="371"/>
      <c r="AC45" s="371"/>
      <c r="AD45" s="371"/>
      <c r="AE45" s="371"/>
      <c r="AF45" s="371"/>
      <c r="AG45" s="379"/>
      <c r="AH45" s="379"/>
      <c r="AI45" s="379"/>
      <c r="AJ45" s="379"/>
      <c r="AK45" s="379"/>
      <c r="AL45" s="379"/>
      <c r="AM45" s="371"/>
      <c r="AN45" s="371"/>
      <c r="AO45" s="371"/>
      <c r="AP45" s="371"/>
      <c r="AQ45" s="379"/>
      <c r="AR45" s="379"/>
      <c r="AS45" s="379"/>
      <c r="AT45" s="379"/>
      <c r="AU45" s="379"/>
      <c r="AV45" s="379"/>
      <c r="AW45" s="379"/>
      <c r="AX45" s="379"/>
      <c r="AY45" s="379"/>
      <c r="AZ45" s="379"/>
      <c r="BA45" s="379"/>
      <c r="BB45" s="379"/>
      <c r="BC45" s="379"/>
      <c r="BD45" s="379"/>
      <c r="BE45" s="379"/>
      <c r="BF45" s="379"/>
      <c r="BG45" s="379"/>
      <c r="BH45" s="379"/>
      <c r="BI45" s="379"/>
      <c r="BJ45" s="379"/>
      <c r="BK45" s="379"/>
      <c r="BL45" s="379"/>
      <c r="BM45" s="379"/>
      <c r="BN45" s="379"/>
      <c r="BO45" s="379"/>
    </row>
    <row r="46" spans="1:67" ht="12.75">
      <c r="A46" s="64"/>
      <c r="B46" s="64"/>
      <c r="C46" s="64"/>
      <c r="D46" s="64"/>
      <c r="E46" s="64"/>
      <c r="X46" s="64"/>
      <c r="Y46" s="64"/>
      <c r="Z46" s="64"/>
      <c r="AA46" s="64"/>
      <c r="AB46" s="371"/>
      <c r="AC46" s="371"/>
      <c r="AD46" s="371"/>
      <c r="AE46" s="371"/>
      <c r="AF46" s="371"/>
      <c r="AG46" s="379"/>
      <c r="AH46" s="379"/>
      <c r="AI46" s="379"/>
      <c r="AJ46" s="379"/>
      <c r="AK46" s="379"/>
      <c r="AL46" s="379"/>
      <c r="AM46" s="371"/>
      <c r="AN46" s="371"/>
      <c r="AO46" s="371"/>
      <c r="AP46" s="371"/>
      <c r="AQ46" s="379"/>
      <c r="AR46" s="379"/>
      <c r="AS46" s="379"/>
      <c r="AT46" s="379"/>
      <c r="AU46" s="379"/>
      <c r="AV46" s="379"/>
      <c r="AW46" s="379"/>
      <c r="AX46" s="379"/>
      <c r="AY46" s="379"/>
      <c r="AZ46" s="379"/>
      <c r="BA46" s="379"/>
      <c r="BB46" s="379"/>
      <c r="BC46" s="379"/>
      <c r="BD46" s="379"/>
      <c r="BE46" s="379"/>
      <c r="BF46" s="379"/>
      <c r="BG46" s="379"/>
      <c r="BH46" s="379"/>
      <c r="BI46" s="379"/>
      <c r="BJ46" s="379"/>
      <c r="BK46" s="379"/>
      <c r="BL46" s="379"/>
      <c r="BM46" s="379"/>
      <c r="BN46" s="379"/>
      <c r="BO46" s="379"/>
    </row>
    <row r="47" spans="1:67" ht="12.75">
      <c r="A47" s="64"/>
      <c r="B47" s="64"/>
      <c r="C47" s="64"/>
      <c r="D47" s="64"/>
      <c r="E47" s="64"/>
      <c r="X47" s="64"/>
      <c r="Y47" s="64"/>
      <c r="Z47" s="64"/>
      <c r="AA47" s="64"/>
      <c r="AB47" s="371"/>
      <c r="AC47" s="371"/>
      <c r="AD47" s="371"/>
      <c r="AE47" s="371"/>
      <c r="AF47" s="371"/>
      <c r="AG47" s="379"/>
      <c r="AH47" s="379"/>
      <c r="AI47" s="379"/>
      <c r="AJ47" s="379"/>
      <c r="AK47" s="379"/>
      <c r="AL47" s="379"/>
      <c r="AM47" s="371"/>
      <c r="AN47" s="371"/>
      <c r="AO47" s="371"/>
      <c r="AP47" s="371"/>
      <c r="AQ47" s="379"/>
      <c r="AR47" s="379"/>
      <c r="AS47" s="379"/>
      <c r="AT47" s="379"/>
      <c r="AU47" s="379"/>
      <c r="AV47" s="379"/>
      <c r="AW47" s="379"/>
      <c r="AX47" s="379"/>
      <c r="AY47" s="379"/>
      <c r="AZ47" s="379"/>
      <c r="BA47" s="379"/>
      <c r="BB47" s="379"/>
      <c r="BC47" s="379"/>
      <c r="BD47" s="379"/>
      <c r="BE47" s="379"/>
      <c r="BF47" s="379"/>
      <c r="BG47" s="379"/>
      <c r="BH47" s="379"/>
      <c r="BI47" s="379"/>
      <c r="BJ47" s="379"/>
      <c r="BK47" s="379"/>
      <c r="BL47" s="379"/>
      <c r="BM47" s="379"/>
      <c r="BN47" s="379"/>
      <c r="BO47" s="379"/>
    </row>
    <row r="48" spans="1:67" ht="12.75">
      <c r="A48" s="64"/>
      <c r="B48" s="64"/>
      <c r="C48" s="64"/>
      <c r="D48" s="64"/>
      <c r="E48" s="64"/>
      <c r="S48" s="64"/>
      <c r="T48" s="64"/>
      <c r="U48" s="64"/>
      <c r="V48" s="64"/>
      <c r="W48" s="64"/>
      <c r="X48" s="64"/>
      <c r="Y48" s="64"/>
      <c r="Z48" s="64"/>
      <c r="AA48" s="64"/>
      <c r="AB48" s="371"/>
      <c r="AC48" s="371"/>
      <c r="AD48" s="371"/>
      <c r="AE48" s="371"/>
      <c r="AF48" s="371"/>
      <c r="AG48" s="379"/>
      <c r="AH48" s="379"/>
      <c r="AI48" s="379"/>
      <c r="AJ48" s="379"/>
      <c r="AK48" s="379"/>
      <c r="AL48" s="379"/>
      <c r="AM48" s="371"/>
      <c r="AN48" s="371"/>
      <c r="AO48" s="371"/>
      <c r="AP48" s="371"/>
      <c r="AQ48" s="379"/>
      <c r="AR48" s="379"/>
      <c r="AS48" s="379"/>
      <c r="AT48" s="379"/>
      <c r="AU48" s="379"/>
      <c r="AV48" s="379"/>
      <c r="AW48" s="379"/>
      <c r="AX48" s="379"/>
      <c r="AY48" s="379"/>
      <c r="AZ48" s="379"/>
      <c r="BA48" s="379"/>
      <c r="BB48" s="379"/>
      <c r="BC48" s="379"/>
      <c r="BD48" s="379"/>
      <c r="BE48" s="379"/>
      <c r="BF48" s="379"/>
      <c r="BG48" s="379"/>
      <c r="BH48" s="379"/>
      <c r="BI48" s="379"/>
      <c r="BJ48" s="379"/>
      <c r="BK48" s="379"/>
      <c r="BL48" s="379"/>
      <c r="BM48" s="379"/>
      <c r="BN48" s="379"/>
      <c r="BO48" s="379"/>
    </row>
    <row r="49" spans="1:67" ht="12.75">
      <c r="A49" s="64"/>
      <c r="B49" s="64"/>
      <c r="C49" s="64"/>
      <c r="D49" s="64"/>
      <c r="E49" s="64"/>
      <c r="S49" s="64"/>
      <c r="T49" s="64"/>
      <c r="U49" s="64"/>
      <c r="V49" s="64"/>
      <c r="W49" s="64"/>
      <c r="X49" s="64"/>
      <c r="Y49" s="64"/>
      <c r="Z49" s="64"/>
      <c r="AA49" s="64"/>
      <c r="AB49" s="371"/>
      <c r="AC49" s="371"/>
      <c r="AD49" s="371"/>
      <c r="AE49" s="371"/>
      <c r="AF49" s="371"/>
      <c r="AG49" s="379"/>
      <c r="AH49" s="379"/>
      <c r="AI49" s="379"/>
      <c r="AJ49" s="379"/>
      <c r="AK49" s="379"/>
      <c r="AL49" s="379"/>
      <c r="AM49" s="371"/>
      <c r="AN49" s="371"/>
      <c r="AO49" s="371"/>
      <c r="AP49" s="371"/>
      <c r="AQ49" s="379"/>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379"/>
      <c r="BO49" s="379"/>
    </row>
    <row r="50" spans="1:67" ht="12.75">
      <c r="A50" s="64"/>
      <c r="B50" s="64"/>
      <c r="C50" s="64"/>
      <c r="D50" s="64"/>
      <c r="E50" s="64"/>
      <c r="S50" s="64"/>
      <c r="T50" s="64"/>
      <c r="U50" s="64"/>
      <c r="V50" s="64"/>
      <c r="W50" s="64"/>
      <c r="X50" s="64"/>
      <c r="Y50" s="64"/>
      <c r="Z50" s="64"/>
      <c r="AA50" s="64"/>
      <c r="AB50" s="371"/>
      <c r="AC50" s="371"/>
      <c r="AD50" s="371"/>
      <c r="AE50" s="371"/>
      <c r="AF50" s="371"/>
      <c r="AG50" s="379"/>
      <c r="AH50" s="379"/>
      <c r="AI50" s="379"/>
      <c r="AJ50" s="379"/>
      <c r="AK50" s="379"/>
      <c r="AL50" s="379"/>
      <c r="AM50" s="371"/>
      <c r="AN50" s="371"/>
      <c r="AO50" s="371"/>
      <c r="AP50" s="371"/>
      <c r="AQ50" s="379"/>
      <c r="AR50" s="379"/>
      <c r="AS50" s="379"/>
      <c r="AT50" s="379"/>
      <c r="AU50" s="379"/>
      <c r="AV50" s="379"/>
      <c r="AW50" s="379"/>
      <c r="AX50" s="379"/>
      <c r="AY50" s="379"/>
      <c r="AZ50" s="379"/>
      <c r="BA50" s="379"/>
      <c r="BB50" s="379"/>
      <c r="BC50" s="379"/>
      <c r="BD50" s="379"/>
      <c r="BE50" s="379"/>
      <c r="BF50" s="379"/>
      <c r="BG50" s="379"/>
      <c r="BH50" s="379"/>
      <c r="BI50" s="379"/>
      <c r="BJ50" s="379"/>
      <c r="BK50" s="379"/>
      <c r="BL50" s="379"/>
      <c r="BM50" s="379"/>
      <c r="BN50" s="379"/>
      <c r="BO50" s="379"/>
    </row>
    <row r="51" spans="1:67" ht="12.75">
      <c r="A51" s="64"/>
      <c r="B51" s="64"/>
      <c r="C51" s="64"/>
      <c r="D51" s="64"/>
      <c r="E51" s="64"/>
      <c r="S51" s="64"/>
      <c r="T51" s="64"/>
      <c r="U51" s="64"/>
      <c r="V51" s="64"/>
      <c r="W51" s="64"/>
      <c r="X51" s="64"/>
      <c r="Y51" s="64"/>
      <c r="Z51" s="64"/>
      <c r="AA51" s="64"/>
      <c r="AB51" s="371"/>
      <c r="AC51" s="371"/>
      <c r="AD51" s="371"/>
      <c r="AE51" s="371"/>
      <c r="AF51" s="371"/>
      <c r="AG51" s="379"/>
      <c r="AH51" s="379"/>
      <c r="AI51" s="379"/>
      <c r="AJ51" s="379"/>
      <c r="AK51" s="379"/>
      <c r="AL51" s="379"/>
      <c r="AM51" s="371"/>
      <c r="AN51" s="371"/>
      <c r="AO51" s="371"/>
      <c r="AP51" s="371"/>
      <c r="AQ51" s="379"/>
      <c r="AR51" s="379"/>
      <c r="AS51" s="379"/>
      <c r="AT51" s="379"/>
      <c r="AU51" s="379"/>
      <c r="AV51" s="379"/>
      <c r="AW51" s="379"/>
      <c r="AX51" s="379"/>
      <c r="AY51" s="379"/>
      <c r="AZ51" s="379"/>
      <c r="BA51" s="379"/>
      <c r="BB51" s="379"/>
      <c r="BC51" s="379"/>
      <c r="BD51" s="379"/>
      <c r="BE51" s="379"/>
      <c r="BF51" s="379"/>
      <c r="BG51" s="379"/>
      <c r="BH51" s="379"/>
      <c r="BI51" s="379"/>
      <c r="BJ51" s="379"/>
      <c r="BK51" s="379"/>
      <c r="BL51" s="379"/>
      <c r="BM51" s="379"/>
      <c r="BN51" s="379"/>
      <c r="BO51" s="379"/>
    </row>
    <row r="52" spans="1:67" ht="12.75">
      <c r="A52" s="64"/>
      <c r="B52" s="64"/>
      <c r="C52" s="64"/>
      <c r="D52" s="64"/>
      <c r="E52" s="64"/>
      <c r="S52" s="64"/>
      <c r="T52" s="64"/>
      <c r="U52" s="64"/>
      <c r="V52" s="64"/>
      <c r="W52" s="64"/>
      <c r="X52" s="64"/>
      <c r="Y52" s="64"/>
      <c r="Z52" s="64"/>
      <c r="AA52" s="64"/>
      <c r="AB52" s="371"/>
      <c r="AC52" s="371"/>
      <c r="AD52" s="371"/>
      <c r="AE52" s="371"/>
      <c r="AF52" s="371"/>
      <c r="AG52" s="379"/>
      <c r="AH52" s="379"/>
      <c r="AI52" s="379"/>
      <c r="AJ52" s="379"/>
      <c r="AK52" s="379"/>
      <c r="AL52" s="379"/>
      <c r="AM52" s="371"/>
      <c r="AN52" s="371"/>
      <c r="AO52" s="371"/>
      <c r="AP52" s="371"/>
      <c r="AQ52" s="379"/>
      <c r="AR52" s="379"/>
      <c r="AS52" s="379"/>
      <c r="AT52" s="379"/>
      <c r="AU52" s="379"/>
      <c r="AV52" s="379"/>
      <c r="AW52" s="379"/>
      <c r="AX52" s="379"/>
      <c r="AY52" s="379"/>
      <c r="AZ52" s="379"/>
      <c r="BA52" s="379"/>
      <c r="BB52" s="379"/>
      <c r="BC52" s="379"/>
      <c r="BD52" s="379"/>
      <c r="BE52" s="379"/>
      <c r="BF52" s="379"/>
      <c r="BG52" s="379"/>
      <c r="BH52" s="379"/>
      <c r="BI52" s="379"/>
      <c r="BJ52" s="379"/>
      <c r="BK52" s="379"/>
      <c r="BL52" s="379"/>
      <c r="BM52" s="379"/>
      <c r="BN52" s="379"/>
      <c r="BO52" s="379"/>
    </row>
    <row r="53" spans="1:67" ht="12.75">
      <c r="A53" s="64"/>
      <c r="B53" s="64"/>
      <c r="C53" s="64"/>
      <c r="D53" s="64"/>
      <c r="E53" s="64"/>
      <c r="S53" s="64"/>
      <c r="T53" s="64"/>
      <c r="U53" s="64"/>
      <c r="V53" s="64"/>
      <c r="W53" s="64"/>
      <c r="X53" s="64"/>
      <c r="Y53" s="64"/>
      <c r="Z53" s="64"/>
      <c r="AA53" s="64"/>
      <c r="AB53" s="371"/>
      <c r="AC53" s="371"/>
      <c r="AD53" s="371"/>
      <c r="AE53" s="371"/>
      <c r="AF53" s="371"/>
      <c r="AG53" s="379"/>
      <c r="AH53" s="379"/>
      <c r="AI53" s="379"/>
      <c r="AJ53" s="379"/>
      <c r="AK53" s="379"/>
      <c r="AL53" s="379"/>
      <c r="AM53" s="371"/>
      <c r="AN53" s="371"/>
      <c r="AO53" s="371"/>
      <c r="AP53" s="371"/>
      <c r="AQ53" s="379"/>
      <c r="AR53" s="379"/>
      <c r="AS53" s="379"/>
      <c r="AT53" s="379"/>
      <c r="AU53" s="379"/>
      <c r="AV53" s="379"/>
      <c r="AW53" s="379"/>
      <c r="AX53" s="379"/>
      <c r="AY53" s="379"/>
      <c r="AZ53" s="379"/>
      <c r="BA53" s="379"/>
      <c r="BB53" s="379"/>
      <c r="BC53" s="379"/>
      <c r="BD53" s="379"/>
      <c r="BE53" s="379"/>
      <c r="BF53" s="379"/>
      <c r="BG53" s="379"/>
      <c r="BH53" s="379"/>
      <c r="BI53" s="379"/>
      <c r="BJ53" s="379"/>
      <c r="BK53" s="379"/>
      <c r="BL53" s="379"/>
      <c r="BM53" s="379"/>
      <c r="BN53" s="379"/>
      <c r="BO53" s="379"/>
    </row>
    <row r="54" spans="1:67" ht="12.75">
      <c r="A54" s="64"/>
      <c r="E54" s="64"/>
      <c r="S54" s="64"/>
      <c r="T54" s="64"/>
      <c r="U54" s="64"/>
      <c r="V54" s="64"/>
      <c r="W54" s="64"/>
      <c r="X54" s="64"/>
      <c r="Y54" s="64"/>
      <c r="Z54" s="64"/>
      <c r="AA54" s="64"/>
      <c r="AB54" s="371"/>
      <c r="AC54" s="371"/>
      <c r="AD54" s="371"/>
      <c r="AE54" s="371"/>
      <c r="AF54" s="371"/>
      <c r="AG54" s="379"/>
      <c r="AH54" s="379"/>
      <c r="AI54" s="379"/>
      <c r="AJ54" s="379"/>
      <c r="AK54" s="379"/>
      <c r="AL54" s="379"/>
      <c r="AM54" s="371"/>
      <c r="AN54" s="371"/>
      <c r="AO54" s="371"/>
      <c r="AP54" s="371"/>
      <c r="AQ54" s="379"/>
      <c r="AR54" s="379"/>
      <c r="AS54" s="379"/>
      <c r="AT54" s="379"/>
      <c r="AU54" s="379"/>
      <c r="AV54" s="379"/>
      <c r="AW54" s="379"/>
      <c r="AX54" s="379"/>
      <c r="AY54" s="379"/>
      <c r="AZ54" s="379"/>
      <c r="BA54" s="379"/>
      <c r="BB54" s="379"/>
      <c r="BC54" s="379"/>
      <c r="BD54" s="379"/>
      <c r="BE54" s="379"/>
      <c r="BF54" s="379"/>
      <c r="BG54" s="379"/>
      <c r="BH54" s="379"/>
      <c r="BI54" s="379"/>
      <c r="BJ54" s="379"/>
      <c r="BK54" s="379"/>
      <c r="BL54" s="379"/>
      <c r="BM54" s="379"/>
      <c r="BN54" s="379"/>
      <c r="BO54" s="379"/>
    </row>
    <row r="55" spans="1:67" ht="12.75">
      <c r="A55" s="64"/>
      <c r="E55" s="64"/>
      <c r="S55" s="64"/>
      <c r="T55" s="64"/>
      <c r="U55" s="64"/>
      <c r="V55" s="64"/>
      <c r="W55" s="64"/>
      <c r="X55" s="64"/>
      <c r="Y55" s="64"/>
      <c r="Z55" s="64"/>
      <c r="AA55" s="64"/>
      <c r="AB55" s="371"/>
      <c r="AC55" s="371"/>
      <c r="AD55" s="371"/>
      <c r="AE55" s="371"/>
      <c r="AF55" s="371"/>
      <c r="AG55" s="379"/>
      <c r="AH55" s="379"/>
      <c r="AI55" s="379"/>
      <c r="AJ55" s="379"/>
      <c r="AK55" s="379"/>
      <c r="AL55" s="379"/>
      <c r="AM55" s="371"/>
      <c r="AN55" s="371"/>
      <c r="AO55" s="371"/>
      <c r="AP55" s="371"/>
      <c r="AQ55" s="379"/>
      <c r="AR55" s="379"/>
      <c r="AS55" s="379"/>
      <c r="AT55" s="379"/>
      <c r="AU55" s="379"/>
      <c r="AV55" s="379"/>
      <c r="AW55" s="379"/>
      <c r="AX55" s="379"/>
      <c r="AY55" s="379"/>
      <c r="AZ55" s="379"/>
      <c r="BA55" s="379"/>
      <c r="BB55" s="379"/>
      <c r="BC55" s="379"/>
      <c r="BD55" s="379"/>
      <c r="BE55" s="379"/>
      <c r="BF55" s="379"/>
      <c r="BG55" s="379"/>
      <c r="BH55" s="379"/>
      <c r="BI55" s="379"/>
      <c r="BJ55" s="379"/>
      <c r="BK55" s="379"/>
      <c r="BL55" s="379"/>
      <c r="BM55" s="379"/>
      <c r="BN55" s="379"/>
      <c r="BO55" s="379"/>
    </row>
    <row r="56" spans="1:67" ht="12.75">
      <c r="A56" s="64"/>
      <c r="E56" s="64"/>
      <c r="S56" s="64"/>
      <c r="T56" s="64"/>
      <c r="U56" s="64"/>
      <c r="V56" s="64"/>
      <c r="W56" s="64"/>
      <c r="X56" s="64"/>
      <c r="Y56" s="64"/>
      <c r="Z56" s="64"/>
      <c r="AA56" s="64"/>
      <c r="AB56" s="371"/>
      <c r="AC56" s="371"/>
      <c r="AD56" s="371"/>
      <c r="AE56" s="371"/>
      <c r="AF56" s="371"/>
      <c r="AG56" s="379"/>
      <c r="AH56" s="379"/>
      <c r="AI56" s="379"/>
      <c r="AJ56" s="379"/>
      <c r="AK56" s="379"/>
      <c r="AL56" s="379"/>
      <c r="AM56" s="371"/>
      <c r="AN56" s="371"/>
      <c r="AO56" s="371"/>
      <c r="AP56" s="371"/>
      <c r="AQ56" s="379"/>
      <c r="AR56" s="379"/>
      <c r="AS56" s="379"/>
      <c r="AT56" s="379"/>
      <c r="AU56" s="379"/>
      <c r="AV56" s="379"/>
      <c r="AW56" s="379"/>
      <c r="AX56" s="379"/>
      <c r="AY56" s="379"/>
      <c r="AZ56" s="379"/>
      <c r="BA56" s="379"/>
      <c r="BB56" s="379"/>
      <c r="BC56" s="379"/>
      <c r="BD56" s="379"/>
      <c r="BE56" s="379"/>
      <c r="BF56" s="379"/>
      <c r="BG56" s="379"/>
      <c r="BH56" s="379"/>
      <c r="BI56" s="379"/>
      <c r="BJ56" s="379"/>
      <c r="BK56" s="379"/>
      <c r="BL56" s="379"/>
      <c r="BM56" s="379"/>
      <c r="BN56" s="379"/>
      <c r="BO56" s="379"/>
    </row>
    <row r="57" spans="28:67" ht="12.75">
      <c r="AB57" s="379"/>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1"/>
      <c r="AZ57" s="371"/>
      <c r="BA57" s="371"/>
      <c r="BB57" s="371"/>
      <c r="BC57" s="371"/>
      <c r="BD57" s="371"/>
      <c r="BE57" s="371"/>
      <c r="BF57" s="371"/>
      <c r="BG57" s="371"/>
      <c r="BH57" s="371"/>
      <c r="BI57" s="371"/>
      <c r="BJ57" s="371"/>
      <c r="BK57" s="371"/>
      <c r="BL57" s="371"/>
      <c r="BM57" s="371"/>
      <c r="BN57" s="371"/>
      <c r="BO57" s="371"/>
    </row>
    <row r="58" spans="28:67" ht="12.75">
      <c r="AB58" s="379"/>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1"/>
      <c r="AY58" s="371"/>
      <c r="AZ58" s="371"/>
      <c r="BA58" s="371"/>
      <c r="BB58" s="371"/>
      <c r="BC58" s="371"/>
      <c r="BD58" s="371"/>
      <c r="BE58" s="371"/>
      <c r="BF58" s="371"/>
      <c r="BG58" s="371"/>
      <c r="BH58" s="371"/>
      <c r="BI58" s="371"/>
      <c r="BJ58" s="371"/>
      <c r="BK58" s="371"/>
      <c r="BL58" s="371"/>
      <c r="BM58" s="371"/>
      <c r="BN58" s="371"/>
      <c r="BO58" s="371"/>
    </row>
    <row r="59" spans="28:67" ht="12.75">
      <c r="AB59" s="379"/>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1"/>
      <c r="AZ59" s="371"/>
      <c r="BA59" s="371"/>
      <c r="BB59" s="371"/>
      <c r="BC59" s="371"/>
      <c r="BD59" s="371"/>
      <c r="BE59" s="371"/>
      <c r="BF59" s="371"/>
      <c r="BG59" s="371"/>
      <c r="BH59" s="371"/>
      <c r="BI59" s="371"/>
      <c r="BJ59" s="371"/>
      <c r="BK59" s="371"/>
      <c r="BL59" s="371"/>
      <c r="BM59" s="371"/>
      <c r="BN59" s="371"/>
      <c r="BO59" s="371"/>
    </row>
    <row r="60" spans="28:67" ht="12.75">
      <c r="AB60" s="379"/>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1"/>
      <c r="AY60" s="371"/>
      <c r="AZ60" s="371"/>
      <c r="BA60" s="371"/>
      <c r="BB60" s="371"/>
      <c r="BC60" s="371"/>
      <c r="BD60" s="371"/>
      <c r="BE60" s="371"/>
      <c r="BF60" s="371"/>
      <c r="BG60" s="371"/>
      <c r="BH60" s="371"/>
      <c r="BI60" s="371"/>
      <c r="BJ60" s="371"/>
      <c r="BK60" s="371"/>
      <c r="BL60" s="371"/>
      <c r="BM60" s="371"/>
      <c r="BN60" s="371"/>
      <c r="BO60" s="371"/>
    </row>
    <row r="61" spans="28:67" ht="12.75">
      <c r="AB61" s="379"/>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1"/>
      <c r="AY61" s="371"/>
      <c r="AZ61" s="371"/>
      <c r="BA61" s="371"/>
      <c r="BB61" s="371"/>
      <c r="BC61" s="371"/>
      <c r="BD61" s="371"/>
      <c r="BE61" s="371"/>
      <c r="BF61" s="371"/>
      <c r="BG61" s="371"/>
      <c r="BH61" s="371"/>
      <c r="BI61" s="371"/>
      <c r="BJ61" s="371"/>
      <c r="BK61" s="371"/>
      <c r="BL61" s="371"/>
      <c r="BM61" s="371"/>
      <c r="BN61" s="371"/>
      <c r="BO61" s="371"/>
    </row>
    <row r="62" spans="28:67" ht="12.75">
      <c r="AB62" s="379"/>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371"/>
      <c r="BC62" s="371"/>
      <c r="BD62" s="371"/>
      <c r="BE62" s="371"/>
      <c r="BF62" s="371"/>
      <c r="BG62" s="371"/>
      <c r="BH62" s="371"/>
      <c r="BI62" s="371"/>
      <c r="BJ62" s="371"/>
      <c r="BK62" s="371"/>
      <c r="BL62" s="371"/>
      <c r="BM62" s="371"/>
      <c r="BN62" s="371"/>
      <c r="BO62" s="371"/>
    </row>
    <row r="63" spans="28:67" ht="12.75">
      <c r="AB63" s="379"/>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1"/>
      <c r="AY63" s="371"/>
      <c r="AZ63" s="371"/>
      <c r="BA63" s="371"/>
      <c r="BB63" s="371"/>
      <c r="BC63" s="371"/>
      <c r="BD63" s="371"/>
      <c r="BE63" s="371"/>
      <c r="BF63" s="371"/>
      <c r="BG63" s="371"/>
      <c r="BH63" s="371"/>
      <c r="BI63" s="371"/>
      <c r="BJ63" s="371"/>
      <c r="BK63" s="371"/>
      <c r="BL63" s="371"/>
      <c r="BM63" s="371"/>
      <c r="BN63" s="371"/>
      <c r="BO63" s="371"/>
    </row>
    <row r="64" spans="28:67" ht="12.75">
      <c r="AB64" s="379"/>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1"/>
      <c r="AY64" s="371"/>
      <c r="AZ64" s="371"/>
      <c r="BA64" s="371"/>
      <c r="BB64" s="371"/>
      <c r="BC64" s="371"/>
      <c r="BD64" s="371"/>
      <c r="BE64" s="371"/>
      <c r="BF64" s="371"/>
      <c r="BG64" s="371"/>
      <c r="BH64" s="371"/>
      <c r="BI64" s="371"/>
      <c r="BJ64" s="371"/>
      <c r="BK64" s="371"/>
      <c r="BL64" s="371"/>
      <c r="BM64" s="371"/>
      <c r="BN64" s="371"/>
      <c r="BO64" s="371"/>
    </row>
    <row r="65" spans="28:67" ht="12.75">
      <c r="AB65" s="384"/>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5"/>
      <c r="BF65" s="385"/>
      <c r="BG65" s="385"/>
      <c r="BH65" s="385"/>
      <c r="BI65" s="385"/>
      <c r="BJ65" s="385"/>
      <c r="BK65" s="385"/>
      <c r="BL65" s="385"/>
      <c r="BM65" s="385"/>
      <c r="BN65" s="385"/>
      <c r="BO65" s="385"/>
    </row>
    <row r="66" spans="29:45" ht="12.75">
      <c r="AC66" s="177"/>
      <c r="AD66" s="177"/>
      <c r="AE66" s="177"/>
      <c r="AF66" s="177"/>
      <c r="AG66" s="177"/>
      <c r="AH66" s="177"/>
      <c r="AI66" s="177"/>
      <c r="AJ66" s="177"/>
      <c r="AK66" s="177"/>
      <c r="AL66" s="177"/>
      <c r="AQ66" s="177"/>
      <c r="AR66" s="177"/>
      <c r="AS66" s="177"/>
    </row>
    <row r="67" spans="29:45" ht="12.75">
      <c r="AC67" s="177"/>
      <c r="AD67" s="177"/>
      <c r="AE67" s="177"/>
      <c r="AF67" s="177"/>
      <c r="AG67" s="177"/>
      <c r="AH67" s="177"/>
      <c r="AI67" s="177"/>
      <c r="AJ67" s="177"/>
      <c r="AK67" s="177"/>
      <c r="AL67" s="177"/>
      <c r="AQ67" s="177"/>
      <c r="AR67" s="177"/>
      <c r="AS67" s="177"/>
    </row>
    <row r="68" spans="29:45" ht="12.75">
      <c r="AC68" s="177"/>
      <c r="AD68" s="177"/>
      <c r="AE68" s="177"/>
      <c r="AF68" s="177"/>
      <c r="AG68" s="177"/>
      <c r="AH68" s="177"/>
      <c r="AI68" s="177"/>
      <c r="AJ68" s="177"/>
      <c r="AK68" s="177"/>
      <c r="AL68" s="177"/>
      <c r="AQ68" s="177"/>
      <c r="AR68" s="177"/>
      <c r="AS68" s="177"/>
    </row>
    <row r="69" spans="29:45" ht="12.75">
      <c r="AC69" s="177"/>
      <c r="AD69" s="177"/>
      <c r="AE69" s="177"/>
      <c r="AF69" s="177"/>
      <c r="AG69" s="177"/>
      <c r="AH69" s="177"/>
      <c r="AI69" s="177"/>
      <c r="AJ69" s="177"/>
      <c r="AK69" s="177"/>
      <c r="AL69" s="177"/>
      <c r="AQ69" s="177"/>
      <c r="AR69" s="177"/>
      <c r="AS69" s="177"/>
    </row>
    <row r="70" spans="29:45" ht="12.75">
      <c r="AC70" s="177"/>
      <c r="AD70" s="177"/>
      <c r="AE70" s="177"/>
      <c r="AF70" s="177"/>
      <c r="AG70" s="177"/>
      <c r="AH70" s="177"/>
      <c r="AI70" s="177"/>
      <c r="AJ70" s="177"/>
      <c r="AK70" s="177"/>
      <c r="AL70" s="177"/>
      <c r="AQ70" s="177"/>
      <c r="AR70" s="177"/>
      <c r="AS70" s="177"/>
    </row>
    <row r="71" spans="29:45" ht="12.75">
      <c r="AC71" s="177"/>
      <c r="AD71" s="177"/>
      <c r="AE71" s="177"/>
      <c r="AF71" s="177"/>
      <c r="AG71" s="177"/>
      <c r="AH71" s="177"/>
      <c r="AI71" s="177"/>
      <c r="AJ71" s="177"/>
      <c r="AK71" s="177"/>
      <c r="AL71" s="177"/>
      <c r="AQ71" s="177"/>
      <c r="AR71" s="177"/>
      <c r="AS71" s="177"/>
    </row>
    <row r="72" spans="29:45" ht="12.75">
      <c r="AC72" s="177"/>
      <c r="AD72" s="177"/>
      <c r="AE72" s="177"/>
      <c r="AF72" s="177"/>
      <c r="AG72" s="177"/>
      <c r="AH72" s="177"/>
      <c r="AI72" s="177"/>
      <c r="AJ72" s="177"/>
      <c r="AK72" s="177"/>
      <c r="AL72" s="177"/>
      <c r="AQ72" s="177"/>
      <c r="AR72" s="177"/>
      <c r="AS72" s="177"/>
    </row>
    <row r="73" spans="29:45" ht="12.75">
      <c r="AC73" s="177"/>
      <c r="AD73" s="177"/>
      <c r="AE73" s="177"/>
      <c r="AF73" s="177"/>
      <c r="AG73" s="177"/>
      <c r="AH73" s="177"/>
      <c r="AI73" s="177"/>
      <c r="AJ73" s="177"/>
      <c r="AK73" s="177"/>
      <c r="AL73" s="177"/>
      <c r="AQ73" s="177"/>
      <c r="AR73" s="177"/>
      <c r="AS73" s="177"/>
    </row>
    <row r="74" spans="29:45" ht="12.75">
      <c r="AC74" s="177"/>
      <c r="AD74" s="177"/>
      <c r="AE74" s="177"/>
      <c r="AF74" s="177"/>
      <c r="AG74" s="177"/>
      <c r="AH74" s="177"/>
      <c r="AI74" s="177"/>
      <c r="AJ74" s="177"/>
      <c r="AK74" s="177"/>
      <c r="AL74" s="177"/>
      <c r="AQ74" s="177"/>
      <c r="AR74" s="177"/>
      <c r="AS74" s="177"/>
    </row>
  </sheetData>
  <sheetProtection password="CE28" sheet="1"/>
  <protectedRanges>
    <protectedRange sqref="M3 M5 M6 M8" name="Диапазон1"/>
  </protectedRanges>
  <mergeCells count="48">
    <mergeCell ref="N6:O6"/>
    <mergeCell ref="AI1:AJ1"/>
    <mergeCell ref="C2:D2"/>
    <mergeCell ref="C3:D3"/>
    <mergeCell ref="W3:AA3"/>
    <mergeCell ref="N4:O4"/>
    <mergeCell ref="Q4:R4"/>
    <mergeCell ref="Q5:R5"/>
    <mergeCell ref="B13:C13"/>
    <mergeCell ref="F13:R13"/>
    <mergeCell ref="B14:C14"/>
    <mergeCell ref="BI3:BO3"/>
    <mergeCell ref="B4:C4"/>
    <mergeCell ref="W4:AA4"/>
    <mergeCell ref="B5:D5"/>
    <mergeCell ref="W5:AA6"/>
    <mergeCell ref="B6:C6"/>
    <mergeCell ref="N5:O5"/>
    <mergeCell ref="K16:M16"/>
    <mergeCell ref="B15:C15"/>
    <mergeCell ref="F17:J17"/>
    <mergeCell ref="W7:AA16"/>
    <mergeCell ref="B7:C7"/>
    <mergeCell ref="B8:C8"/>
    <mergeCell ref="B9:C9"/>
    <mergeCell ref="B10:C10"/>
    <mergeCell ref="B12:C12"/>
    <mergeCell ref="Q6:R6"/>
    <mergeCell ref="Q7:R7"/>
    <mergeCell ref="Q8:R8"/>
    <mergeCell ref="N7:O7"/>
    <mergeCell ref="N8:O8"/>
    <mergeCell ref="C27:D27"/>
    <mergeCell ref="B26:D26"/>
    <mergeCell ref="F25:R25"/>
    <mergeCell ref="K26:M26"/>
    <mergeCell ref="F27:J27"/>
    <mergeCell ref="W38:AA42"/>
    <mergeCell ref="W32:AA36"/>
    <mergeCell ref="W17:AA22"/>
    <mergeCell ref="C31:D31"/>
    <mergeCell ref="C30:D30"/>
    <mergeCell ref="C29:D29"/>
    <mergeCell ref="C32:D32"/>
    <mergeCell ref="B35:P35"/>
    <mergeCell ref="W23:AA30"/>
    <mergeCell ref="C28:D28"/>
  </mergeCells>
  <dataValidations count="15">
    <dataValidation type="list" allowBlank="1" showInputMessage="1" showErrorMessage="1" sqref="Q5:Q8">
      <formula1>$AC$14:$AC$17</formula1>
    </dataValidation>
    <dataValidation type="list" allowBlank="1" showInputMessage="1" showErrorMessage="1" sqref="N5:N8 C3:D3">
      <formula1>$AS$3:$AS$20</formula1>
    </dataValidation>
    <dataValidation type="list" allowBlank="1" showInputMessage="1" showErrorMessage="1" sqref="D18:D25">
      <formula1>$AG$1:$AG$5</formula1>
    </dataValidation>
    <dataValidation type="list" allowBlank="1" showInputMessage="1" showErrorMessage="1" sqref="C31:D31">
      <formula1>$AP$1:$AP$7</formula1>
    </dataValidation>
    <dataValidation type="list" allowBlank="1" showInputMessage="1" showErrorMessage="1" sqref="C2:D2">
      <formula1>$AD$5:$AD$11</formula1>
    </dataValidation>
    <dataValidation type="whole" allowBlank="1" showInputMessage="1" showErrorMessage="1" sqref="E27">
      <formula1>0</formula1>
      <formula2>5</formula2>
    </dataValidation>
    <dataValidation type="list" allowBlank="1" showInputMessage="1" showErrorMessage="1" sqref="C27:D27">
      <formula1>$AH$1:$AH$21</formula1>
    </dataValidation>
    <dataValidation type="list" allowBlank="1" showInputMessage="1" showErrorMessage="1" sqref="M5">
      <formula1>$AB$2:$AB$6</formula1>
    </dataValidation>
    <dataValidation type="list" allowBlank="1" showInputMessage="1" showErrorMessage="1" sqref="M6">
      <formula1>$AB$7:$AB$11</formula1>
    </dataValidation>
    <dataValidation type="list" allowBlank="1" showInputMessage="1" showErrorMessage="1" sqref="C32:D32">
      <formula1>$AQ$1:$AQ$6</formula1>
    </dataValidation>
    <dataValidation type="list" allowBlank="1" showInputMessage="1" showErrorMessage="1" sqref="C28:D28">
      <formula1>$AI$12:$AI$17</formula1>
    </dataValidation>
    <dataValidation type="list" allowBlank="1" showInputMessage="1" showErrorMessage="1" sqref="C29:D29">
      <formula1>$AL$1:$AL$11</formula1>
    </dataValidation>
    <dataValidation type="list" allowBlank="1" showInputMessage="1" showErrorMessage="1" sqref="C30:D30">
      <formula1>$AO$1:$AO$11</formula1>
    </dataValidation>
    <dataValidation type="list" allowBlank="1" showInputMessage="1" showErrorMessage="1" sqref="M8">
      <formula1>$AB$17:$AB$21</formula1>
    </dataValidation>
    <dataValidation type="list" allowBlank="1" showInputMessage="1" showErrorMessage="1" sqref="M3">
      <formula1>$AB$12:$AB$16</formula1>
    </dataValidation>
  </dataValidations>
  <hyperlinks>
    <hyperlink ref="W4:AA4" r:id="rId1" display="http://tim-twiser.clan.su"/>
  </hyperlinks>
  <printOptions/>
  <pageMargins left="0.75" right="0.75" top="1" bottom="1" header="0.5" footer="0.5"/>
  <pageSetup horizontalDpi="300" verticalDpi="300" orientation="portrait" paperSize="9" r:id="rId4"/>
  <ignoredErrors>
    <ignoredError sqref="AK18:AK21 AK27:AK29" evalError="1"/>
  </ignoredErrors>
  <legacyDrawing r:id="rId3"/>
</worksheet>
</file>

<file path=xl/worksheets/sheet5.xml><?xml version="1.0" encoding="utf-8"?>
<worksheet xmlns="http://schemas.openxmlformats.org/spreadsheetml/2006/main" xmlns:r="http://schemas.openxmlformats.org/officeDocument/2006/relationships">
  <dimension ref="A1:AK180"/>
  <sheetViews>
    <sheetView zoomScalePageLayoutView="0" workbookViewId="0" topLeftCell="A13">
      <selection activeCell="J52" sqref="J52"/>
    </sheetView>
  </sheetViews>
  <sheetFormatPr defaultColWidth="9.140625" defaultRowHeight="12.75"/>
  <cols>
    <col min="1" max="1" width="24.421875" style="14" customWidth="1"/>
    <col min="2" max="2" width="8.00390625" style="14" customWidth="1"/>
    <col min="3" max="3" width="5.00390625" style="14" customWidth="1"/>
    <col min="4" max="4" width="5.8515625" style="14" customWidth="1"/>
    <col min="5" max="9" width="9.140625" style="14" customWidth="1"/>
    <col min="10" max="10" width="10.421875" style="14" customWidth="1"/>
    <col min="11" max="11" width="18.7109375" style="14" customWidth="1"/>
    <col min="12" max="12" width="8.140625" style="23" customWidth="1"/>
    <col min="13" max="13" width="12.28125" style="14" customWidth="1"/>
    <col min="14" max="14" width="13.7109375" style="14" customWidth="1"/>
    <col min="15" max="15" width="6.140625" style="59" customWidth="1"/>
    <col min="16" max="17" width="6.28125" style="59" customWidth="1"/>
    <col min="18" max="18" width="7.140625" style="59" customWidth="1"/>
    <col min="19" max="19" width="6.7109375" style="59" customWidth="1"/>
    <col min="20" max="20" width="7.00390625" style="59" customWidth="1"/>
    <col min="21" max="21" width="68.7109375" style="14" customWidth="1"/>
    <col min="22" max="36" width="9.140625" style="14" customWidth="1"/>
    <col min="37" max="37" width="9.140625" style="15" customWidth="1"/>
    <col min="38" max="16384" width="9.140625" style="14" customWidth="1"/>
  </cols>
  <sheetData>
    <row r="1" spans="1:28" ht="22.5" customHeight="1" thickBot="1">
      <c r="A1" s="1"/>
      <c r="B1" s="1"/>
      <c r="C1" s="1"/>
      <c r="D1" s="1"/>
      <c r="E1" s="1"/>
      <c r="F1" s="1"/>
      <c r="G1" s="1"/>
      <c r="H1" s="1"/>
      <c r="I1" s="1"/>
      <c r="J1" s="1"/>
      <c r="K1" s="6"/>
      <c r="L1" s="12"/>
      <c r="M1" s="13"/>
      <c r="N1" s="13"/>
      <c r="O1" s="651" t="s">
        <v>149</v>
      </c>
      <c r="P1" s="652"/>
      <c r="Q1" s="652"/>
      <c r="R1" s="652"/>
      <c r="S1" s="652"/>
      <c r="T1" s="653"/>
      <c r="U1" s="1"/>
      <c r="V1" s="1"/>
      <c r="W1" s="1"/>
      <c r="X1" s="1"/>
      <c r="Y1" s="1"/>
      <c r="Z1" s="1"/>
      <c r="AA1" s="1"/>
      <c r="AB1" s="1"/>
    </row>
    <row r="2" spans="1:28" ht="23.25" customHeight="1">
      <c r="A2" s="10" t="s">
        <v>150</v>
      </c>
      <c r="B2" s="10" t="s">
        <v>151</v>
      </c>
      <c r="C2" s="10" t="s">
        <v>152</v>
      </c>
      <c r="D2" s="10" t="s">
        <v>153</v>
      </c>
      <c r="E2" s="10" t="s">
        <v>154</v>
      </c>
      <c r="F2" s="10" t="s">
        <v>155</v>
      </c>
      <c r="G2" s="10" t="s">
        <v>156</v>
      </c>
      <c r="H2" s="10" t="s">
        <v>157</v>
      </c>
      <c r="I2" s="10" t="s">
        <v>158</v>
      </c>
      <c r="J2" s="10" t="s">
        <v>159</v>
      </c>
      <c r="K2" s="10" t="s">
        <v>160</v>
      </c>
      <c r="L2" s="10" t="s">
        <v>161</v>
      </c>
      <c r="M2" s="2"/>
      <c r="N2" s="16"/>
      <c r="O2" s="17" t="s">
        <v>66</v>
      </c>
      <c r="P2" s="17" t="s">
        <v>14</v>
      </c>
      <c r="Q2" s="17" t="s">
        <v>19</v>
      </c>
      <c r="R2" s="17" t="s">
        <v>23</v>
      </c>
      <c r="S2" s="17" t="s">
        <v>105</v>
      </c>
      <c r="T2" s="17" t="s">
        <v>130</v>
      </c>
      <c r="U2" s="10" t="s">
        <v>162</v>
      </c>
      <c r="V2" s="1"/>
      <c r="W2" s="654" t="s">
        <v>53</v>
      </c>
      <c r="X2" s="655"/>
      <c r="Y2" s="655"/>
      <c r="Z2" s="655"/>
      <c r="AA2" s="656"/>
      <c r="AB2" s="1"/>
    </row>
    <row r="3" spans="1:28" ht="15.75">
      <c r="A3" s="4" t="s">
        <v>163</v>
      </c>
      <c r="B3" s="18" t="s">
        <v>164</v>
      </c>
      <c r="C3" s="9">
        <v>6</v>
      </c>
      <c r="D3" s="9">
        <v>0</v>
      </c>
      <c r="E3" s="9">
        <v>1</v>
      </c>
      <c r="F3" s="19">
        <v>5</v>
      </c>
      <c r="G3" s="19">
        <v>5</v>
      </c>
      <c r="H3" s="9">
        <v>10</v>
      </c>
      <c r="I3" s="19">
        <v>30</v>
      </c>
      <c r="J3" s="19">
        <v>6</v>
      </c>
      <c r="K3" s="20">
        <v>15</v>
      </c>
      <c r="L3" s="19"/>
      <c r="M3" s="21"/>
      <c r="N3" s="7"/>
      <c r="O3" s="22">
        <v>1</v>
      </c>
      <c r="P3" s="22"/>
      <c r="Q3" s="22"/>
      <c r="R3" s="22"/>
      <c r="S3" s="22"/>
      <c r="T3" s="22"/>
      <c r="U3" s="23" t="s">
        <v>165</v>
      </c>
      <c r="V3" s="1"/>
      <c r="W3" s="657" t="s">
        <v>55</v>
      </c>
      <c r="X3" s="658"/>
      <c r="Y3" s="658"/>
      <c r="Z3" s="658"/>
      <c r="AA3" s="659"/>
      <c r="AB3" s="1"/>
    </row>
    <row r="4" spans="1:28" ht="12.75" customHeight="1">
      <c r="A4" s="4" t="s">
        <v>166</v>
      </c>
      <c r="B4" s="18" t="s">
        <v>164</v>
      </c>
      <c r="C4" s="19">
        <v>5</v>
      </c>
      <c r="D4" s="9">
        <v>0</v>
      </c>
      <c r="E4" s="9">
        <v>1</v>
      </c>
      <c r="F4" s="19">
        <v>6</v>
      </c>
      <c r="G4" s="19">
        <v>6</v>
      </c>
      <c r="H4" s="9">
        <v>12</v>
      </c>
      <c r="I4" s="19">
        <v>40</v>
      </c>
      <c r="J4" s="19">
        <v>6</v>
      </c>
      <c r="K4" s="20">
        <v>15</v>
      </c>
      <c r="L4" s="19"/>
      <c r="M4" s="21"/>
      <c r="N4" s="7"/>
      <c r="O4" s="22">
        <v>2</v>
      </c>
      <c r="P4" s="22"/>
      <c r="Q4" s="22"/>
      <c r="R4" s="22"/>
      <c r="S4" s="22"/>
      <c r="T4" s="22"/>
      <c r="U4" s="23" t="s">
        <v>167</v>
      </c>
      <c r="V4" s="1"/>
      <c r="W4" s="660" t="s">
        <v>302</v>
      </c>
      <c r="X4" s="661"/>
      <c r="Y4" s="661"/>
      <c r="Z4" s="661"/>
      <c r="AA4" s="662"/>
      <c r="AB4" s="1"/>
    </row>
    <row r="5" spans="1:28" ht="12.75">
      <c r="A5" s="4" t="s">
        <v>168</v>
      </c>
      <c r="B5" s="18" t="s">
        <v>164</v>
      </c>
      <c r="C5" s="19">
        <v>4</v>
      </c>
      <c r="D5" s="9">
        <v>6</v>
      </c>
      <c r="E5" s="20">
        <v>3</v>
      </c>
      <c r="F5" s="19">
        <v>5</v>
      </c>
      <c r="G5" s="9">
        <v>8</v>
      </c>
      <c r="H5" s="9">
        <v>10</v>
      </c>
      <c r="I5" s="19">
        <v>40</v>
      </c>
      <c r="J5" s="9">
        <v>7</v>
      </c>
      <c r="K5" s="9">
        <v>10</v>
      </c>
      <c r="L5" s="9"/>
      <c r="M5" s="24"/>
      <c r="N5" s="3"/>
      <c r="O5" s="22"/>
      <c r="P5" s="22">
        <v>1</v>
      </c>
      <c r="Q5" s="22"/>
      <c r="R5" s="22"/>
      <c r="S5" s="22"/>
      <c r="T5" s="22"/>
      <c r="U5" s="23" t="s">
        <v>169</v>
      </c>
      <c r="V5" s="1"/>
      <c r="W5" s="663"/>
      <c r="X5" s="664"/>
      <c r="Y5" s="664"/>
      <c r="Z5" s="664"/>
      <c r="AA5" s="665"/>
      <c r="AB5" s="1"/>
    </row>
    <row r="6" spans="1:28" ht="12.75" customHeight="1">
      <c r="A6" s="4" t="s">
        <v>170</v>
      </c>
      <c r="B6" s="18" t="s">
        <v>164</v>
      </c>
      <c r="C6" s="9">
        <v>6</v>
      </c>
      <c r="D6" s="9">
        <v>7</v>
      </c>
      <c r="E6" s="25">
        <v>2</v>
      </c>
      <c r="F6" s="9">
        <v>9</v>
      </c>
      <c r="G6" s="9">
        <v>10</v>
      </c>
      <c r="H6" s="19">
        <v>9</v>
      </c>
      <c r="I6" s="9">
        <v>50</v>
      </c>
      <c r="J6" s="19">
        <v>6</v>
      </c>
      <c r="K6" s="9">
        <v>10</v>
      </c>
      <c r="L6" s="19"/>
      <c r="M6" s="24"/>
      <c r="N6" s="3"/>
      <c r="O6" s="22">
        <v>1</v>
      </c>
      <c r="P6" s="22"/>
      <c r="Q6" s="22"/>
      <c r="R6" s="22">
        <v>1</v>
      </c>
      <c r="S6" s="22"/>
      <c r="T6" s="22"/>
      <c r="U6" s="23" t="s">
        <v>171</v>
      </c>
      <c r="V6" s="1"/>
      <c r="W6" s="641" t="s">
        <v>57</v>
      </c>
      <c r="X6" s="642"/>
      <c r="Y6" s="642"/>
      <c r="Z6" s="642"/>
      <c r="AA6" s="643"/>
      <c r="AB6" s="1"/>
    </row>
    <row r="7" spans="1:28" ht="12.75">
      <c r="A7" s="4" t="s">
        <v>172</v>
      </c>
      <c r="B7" s="18" t="s">
        <v>164</v>
      </c>
      <c r="C7" s="20">
        <v>12</v>
      </c>
      <c r="D7" s="9">
        <v>0</v>
      </c>
      <c r="E7" s="9">
        <v>1</v>
      </c>
      <c r="F7" s="9">
        <v>9</v>
      </c>
      <c r="G7" s="9">
        <v>8</v>
      </c>
      <c r="H7" s="9">
        <v>10</v>
      </c>
      <c r="I7" s="9">
        <v>50</v>
      </c>
      <c r="J7" s="9">
        <v>7</v>
      </c>
      <c r="K7" s="9">
        <v>7</v>
      </c>
      <c r="L7" s="9"/>
      <c r="M7" s="24"/>
      <c r="N7" s="3"/>
      <c r="O7" s="22">
        <v>5</v>
      </c>
      <c r="P7" s="22"/>
      <c r="Q7" s="22"/>
      <c r="R7" s="22"/>
      <c r="S7" s="22"/>
      <c r="T7" s="22"/>
      <c r="U7" s="23" t="s">
        <v>173</v>
      </c>
      <c r="V7" s="1"/>
      <c r="W7" s="644"/>
      <c r="X7" s="645"/>
      <c r="Y7" s="645"/>
      <c r="Z7" s="645"/>
      <c r="AA7" s="646"/>
      <c r="AB7" s="1"/>
    </row>
    <row r="8" spans="1:28" ht="12.75">
      <c r="A8" s="4" t="s">
        <v>174</v>
      </c>
      <c r="B8" s="18" t="s">
        <v>164</v>
      </c>
      <c r="C8" s="9">
        <v>8</v>
      </c>
      <c r="D8" s="9">
        <v>0</v>
      </c>
      <c r="E8" s="9">
        <v>1</v>
      </c>
      <c r="F8" s="20">
        <v>12</v>
      </c>
      <c r="G8" s="20">
        <v>13</v>
      </c>
      <c r="H8" s="19">
        <v>9</v>
      </c>
      <c r="I8" s="20">
        <v>70</v>
      </c>
      <c r="J8" s="19">
        <v>5</v>
      </c>
      <c r="K8" s="9">
        <v>7</v>
      </c>
      <c r="L8" s="19"/>
      <c r="M8" s="24"/>
      <c r="N8" s="3"/>
      <c r="O8" s="22">
        <v>4</v>
      </c>
      <c r="P8" s="22"/>
      <c r="Q8" s="22"/>
      <c r="R8" s="22">
        <v>1</v>
      </c>
      <c r="S8" s="22"/>
      <c r="T8" s="22"/>
      <c r="U8" s="23" t="s">
        <v>165</v>
      </c>
      <c r="V8" s="1"/>
      <c r="W8" s="644"/>
      <c r="X8" s="645"/>
      <c r="Y8" s="645"/>
      <c r="Z8" s="645"/>
      <c r="AA8" s="646"/>
      <c r="AB8" s="1"/>
    </row>
    <row r="9" spans="1:28" ht="12.75">
      <c r="A9" s="4" t="s">
        <v>175</v>
      </c>
      <c r="B9" s="18" t="s">
        <v>164</v>
      </c>
      <c r="C9" s="9">
        <v>9</v>
      </c>
      <c r="D9" s="9">
        <v>0</v>
      </c>
      <c r="E9" s="9">
        <v>1</v>
      </c>
      <c r="F9" s="9">
        <v>10</v>
      </c>
      <c r="G9" s="20">
        <v>14</v>
      </c>
      <c r="H9" s="20">
        <v>15</v>
      </c>
      <c r="I9" s="9">
        <v>50</v>
      </c>
      <c r="J9" s="20">
        <v>12</v>
      </c>
      <c r="K9" s="9">
        <v>5</v>
      </c>
      <c r="L9" s="20"/>
      <c r="M9" s="24"/>
      <c r="N9" s="3"/>
      <c r="O9" s="22">
        <v>5</v>
      </c>
      <c r="P9" s="22">
        <v>1</v>
      </c>
      <c r="Q9" s="22"/>
      <c r="R9" s="22"/>
      <c r="S9" s="22"/>
      <c r="T9" s="22"/>
      <c r="U9" s="23" t="s">
        <v>176</v>
      </c>
      <c r="V9" s="1"/>
      <c r="W9" s="644"/>
      <c r="X9" s="645"/>
      <c r="Y9" s="645"/>
      <c r="Z9" s="645"/>
      <c r="AA9" s="646"/>
      <c r="AB9" s="1"/>
    </row>
    <row r="10" spans="1:28" ht="12.75">
      <c r="A10" s="26" t="s">
        <v>177</v>
      </c>
      <c r="B10" s="27" t="s">
        <v>164</v>
      </c>
      <c r="C10" s="28">
        <v>11</v>
      </c>
      <c r="D10" s="28">
        <v>0</v>
      </c>
      <c r="E10" s="28">
        <v>1</v>
      </c>
      <c r="F10" s="29">
        <v>12</v>
      </c>
      <c r="G10" s="28">
        <v>12</v>
      </c>
      <c r="H10" s="28">
        <v>12</v>
      </c>
      <c r="I10" s="29">
        <v>70</v>
      </c>
      <c r="J10" s="29">
        <v>9</v>
      </c>
      <c r="K10" s="28">
        <v>5</v>
      </c>
      <c r="L10" s="20"/>
      <c r="M10" s="24"/>
      <c r="N10" s="30"/>
      <c r="O10" s="31">
        <v>5</v>
      </c>
      <c r="P10" s="31">
        <v>1</v>
      </c>
      <c r="Q10" s="31"/>
      <c r="R10" s="31">
        <v>1</v>
      </c>
      <c r="S10" s="31"/>
      <c r="T10" s="31"/>
      <c r="U10" s="32" t="s">
        <v>176</v>
      </c>
      <c r="V10" s="1"/>
      <c r="W10" s="644"/>
      <c r="X10" s="645"/>
      <c r="Y10" s="645"/>
      <c r="Z10" s="645"/>
      <c r="AA10" s="646"/>
      <c r="AB10" s="1"/>
    </row>
    <row r="11" spans="1:28" ht="12.75">
      <c r="A11" s="4" t="s">
        <v>178</v>
      </c>
      <c r="B11" s="18" t="s">
        <v>164</v>
      </c>
      <c r="C11" s="9">
        <v>7</v>
      </c>
      <c r="D11" s="9">
        <v>7</v>
      </c>
      <c r="E11" s="25">
        <v>2</v>
      </c>
      <c r="F11" s="9">
        <v>9</v>
      </c>
      <c r="G11" s="9">
        <v>12</v>
      </c>
      <c r="H11" s="20">
        <v>15</v>
      </c>
      <c r="I11" s="9">
        <v>50</v>
      </c>
      <c r="J11" s="9">
        <v>8</v>
      </c>
      <c r="K11" s="9">
        <v>5</v>
      </c>
      <c r="L11" s="9"/>
      <c r="M11" s="24"/>
      <c r="N11" s="30"/>
      <c r="O11" s="22"/>
      <c r="P11" s="22"/>
      <c r="Q11" s="22"/>
      <c r="R11" s="22"/>
      <c r="S11" s="22">
        <v>1</v>
      </c>
      <c r="T11" s="22"/>
      <c r="U11" s="23"/>
      <c r="V11" s="1"/>
      <c r="W11" s="644"/>
      <c r="X11" s="645"/>
      <c r="Y11" s="645"/>
      <c r="Z11" s="645"/>
      <c r="AA11" s="646"/>
      <c r="AB11" s="1"/>
    </row>
    <row r="12" spans="1:28" ht="12.75">
      <c r="A12" s="1"/>
      <c r="B12" s="33"/>
      <c r="C12" s="3"/>
      <c r="D12" s="3"/>
      <c r="E12" s="3"/>
      <c r="F12" s="3"/>
      <c r="G12" s="3"/>
      <c r="H12" s="3"/>
      <c r="I12" s="3"/>
      <c r="J12" s="3"/>
      <c r="K12" s="3"/>
      <c r="L12" s="34"/>
      <c r="M12" s="24"/>
      <c r="N12" s="3"/>
      <c r="O12" s="35"/>
      <c r="P12" s="35"/>
      <c r="Q12" s="35"/>
      <c r="R12" s="35"/>
      <c r="S12" s="35"/>
      <c r="T12" s="35"/>
      <c r="U12" s="1"/>
      <c r="V12" s="1"/>
      <c r="W12" s="644"/>
      <c r="X12" s="645"/>
      <c r="Y12" s="645"/>
      <c r="Z12" s="645"/>
      <c r="AA12" s="646"/>
      <c r="AB12" s="1"/>
    </row>
    <row r="13" spans="1:28" ht="12.75" customHeight="1">
      <c r="A13" s="4" t="s">
        <v>179</v>
      </c>
      <c r="B13" s="18" t="s">
        <v>164</v>
      </c>
      <c r="C13" s="9">
        <v>6</v>
      </c>
      <c r="D13" s="9">
        <v>7</v>
      </c>
      <c r="E13" s="25">
        <v>2</v>
      </c>
      <c r="F13" s="9">
        <v>9</v>
      </c>
      <c r="G13" s="9">
        <v>9</v>
      </c>
      <c r="H13" s="9">
        <v>10</v>
      </c>
      <c r="I13" s="9">
        <v>60</v>
      </c>
      <c r="J13" s="20">
        <v>9</v>
      </c>
      <c r="K13" s="9">
        <v>6</v>
      </c>
      <c r="L13" s="20"/>
      <c r="M13" s="24"/>
      <c r="N13" s="30"/>
      <c r="O13" s="22"/>
      <c r="P13" s="22">
        <v>2</v>
      </c>
      <c r="Q13" s="22"/>
      <c r="R13" s="22"/>
      <c r="S13" s="22"/>
      <c r="T13" s="22"/>
      <c r="U13" s="23" t="s">
        <v>180</v>
      </c>
      <c r="V13" s="1"/>
      <c r="W13" s="644"/>
      <c r="X13" s="645"/>
      <c r="Y13" s="645"/>
      <c r="Z13" s="645"/>
      <c r="AA13" s="646"/>
      <c r="AB13" s="1"/>
    </row>
    <row r="14" spans="1:28" ht="12.75" customHeight="1">
      <c r="A14" s="36" t="s">
        <v>181</v>
      </c>
      <c r="B14" s="37" t="s">
        <v>164</v>
      </c>
      <c r="C14" s="38">
        <v>14</v>
      </c>
      <c r="D14" s="39">
        <v>0</v>
      </c>
      <c r="E14" s="39">
        <v>1</v>
      </c>
      <c r="F14" s="38">
        <v>12</v>
      </c>
      <c r="G14" s="39">
        <v>7</v>
      </c>
      <c r="H14" s="39">
        <v>13</v>
      </c>
      <c r="I14" s="38">
        <v>150</v>
      </c>
      <c r="J14" s="40">
        <v>6</v>
      </c>
      <c r="K14" s="40">
        <v>4</v>
      </c>
      <c r="L14" s="19"/>
      <c r="M14" s="41"/>
      <c r="N14" s="42"/>
      <c r="O14" s="43"/>
      <c r="P14" s="43"/>
      <c r="Q14" s="43"/>
      <c r="R14" s="43">
        <v>1</v>
      </c>
      <c r="S14" s="43">
        <v>2</v>
      </c>
      <c r="T14" s="43"/>
      <c r="U14" s="44" t="s">
        <v>182</v>
      </c>
      <c r="V14" s="1"/>
      <c r="W14" s="644"/>
      <c r="X14" s="645"/>
      <c r="Y14" s="645"/>
      <c r="Z14" s="645"/>
      <c r="AA14" s="646"/>
      <c r="AB14" s="1"/>
    </row>
    <row r="15" spans="1:28" ht="12.75">
      <c r="A15" s="4" t="s">
        <v>183</v>
      </c>
      <c r="B15" s="18" t="s">
        <v>164</v>
      </c>
      <c r="C15" s="9">
        <v>7</v>
      </c>
      <c r="D15" s="9">
        <v>0</v>
      </c>
      <c r="E15" s="9">
        <v>1</v>
      </c>
      <c r="F15" s="9">
        <v>9</v>
      </c>
      <c r="G15" s="9">
        <v>9</v>
      </c>
      <c r="H15" s="20">
        <v>16</v>
      </c>
      <c r="I15" s="20">
        <v>70</v>
      </c>
      <c r="J15" s="9">
        <v>7</v>
      </c>
      <c r="K15" s="9">
        <v>6</v>
      </c>
      <c r="L15" s="9"/>
      <c r="M15" s="24"/>
      <c r="N15" s="3"/>
      <c r="O15" s="22"/>
      <c r="P15" s="22"/>
      <c r="Q15" s="22">
        <v>2</v>
      </c>
      <c r="R15" s="22"/>
      <c r="S15" s="22"/>
      <c r="T15" s="22"/>
      <c r="U15" s="23" t="s">
        <v>184</v>
      </c>
      <c r="V15" s="1"/>
      <c r="W15" s="644"/>
      <c r="X15" s="645"/>
      <c r="Y15" s="645"/>
      <c r="Z15" s="645"/>
      <c r="AA15" s="646"/>
      <c r="AB15" s="1"/>
    </row>
    <row r="16" spans="1:28" ht="12.75" customHeight="1">
      <c r="A16" s="4" t="s">
        <v>185</v>
      </c>
      <c r="B16" s="18" t="s">
        <v>164</v>
      </c>
      <c r="C16" s="9">
        <v>10</v>
      </c>
      <c r="D16" s="9">
        <v>0</v>
      </c>
      <c r="E16" s="9">
        <v>1</v>
      </c>
      <c r="F16" s="9">
        <v>9</v>
      </c>
      <c r="G16" s="9">
        <v>12</v>
      </c>
      <c r="H16" s="9">
        <v>12</v>
      </c>
      <c r="I16" s="9">
        <v>60</v>
      </c>
      <c r="J16" s="9">
        <v>8</v>
      </c>
      <c r="K16" s="9">
        <v>7</v>
      </c>
      <c r="L16" s="9"/>
      <c r="M16" s="24"/>
      <c r="N16" s="3"/>
      <c r="O16" s="22">
        <v>4</v>
      </c>
      <c r="P16" s="22"/>
      <c r="Q16" s="22"/>
      <c r="R16" s="22"/>
      <c r="S16" s="22"/>
      <c r="T16" s="22"/>
      <c r="U16" s="23" t="s">
        <v>186</v>
      </c>
      <c r="V16" s="1"/>
      <c r="W16" s="647" t="s">
        <v>110</v>
      </c>
      <c r="X16" s="648"/>
      <c r="Y16" s="648"/>
      <c r="Z16" s="648"/>
      <c r="AA16" s="649"/>
      <c r="AB16" s="1"/>
    </row>
    <row r="17" spans="1:28" ht="12.75">
      <c r="A17" s="26" t="s">
        <v>187</v>
      </c>
      <c r="B17" s="27" t="s">
        <v>164</v>
      </c>
      <c r="C17" s="28">
        <v>5</v>
      </c>
      <c r="D17" s="28">
        <v>6</v>
      </c>
      <c r="E17" s="29">
        <v>3</v>
      </c>
      <c r="F17" s="45">
        <v>6</v>
      </c>
      <c r="G17" s="28">
        <v>8</v>
      </c>
      <c r="H17" s="28">
        <v>13</v>
      </c>
      <c r="I17" s="28">
        <v>50</v>
      </c>
      <c r="J17" s="28">
        <v>7</v>
      </c>
      <c r="K17" s="28">
        <v>10</v>
      </c>
      <c r="L17" s="9"/>
      <c r="M17" s="24"/>
      <c r="N17" s="3"/>
      <c r="O17" s="31"/>
      <c r="P17" s="31">
        <v>2</v>
      </c>
      <c r="Q17" s="31"/>
      <c r="R17" s="31"/>
      <c r="S17" s="31"/>
      <c r="T17" s="31"/>
      <c r="U17" s="32" t="s">
        <v>188</v>
      </c>
      <c r="V17" s="1"/>
      <c r="W17" s="647"/>
      <c r="X17" s="648"/>
      <c r="Y17" s="648"/>
      <c r="Z17" s="648"/>
      <c r="AA17" s="649"/>
      <c r="AB17" s="1"/>
    </row>
    <row r="18" spans="1:28" ht="12.75" customHeight="1">
      <c r="A18" s="1"/>
      <c r="B18" s="33"/>
      <c r="C18" s="3"/>
      <c r="D18" s="3"/>
      <c r="E18" s="3"/>
      <c r="F18" s="3"/>
      <c r="G18" s="3"/>
      <c r="H18" s="3"/>
      <c r="I18" s="3"/>
      <c r="J18" s="3"/>
      <c r="K18" s="3"/>
      <c r="L18" s="34"/>
      <c r="M18" s="24"/>
      <c r="N18" s="3"/>
      <c r="O18" s="35"/>
      <c r="P18" s="35"/>
      <c r="Q18" s="35"/>
      <c r="R18" s="35"/>
      <c r="S18" s="35"/>
      <c r="T18" s="35"/>
      <c r="U18" s="1"/>
      <c r="V18" s="1"/>
      <c r="W18" s="647"/>
      <c r="X18" s="648"/>
      <c r="Y18" s="648"/>
      <c r="Z18" s="648"/>
      <c r="AA18" s="649"/>
      <c r="AB18" s="1"/>
    </row>
    <row r="19" spans="1:28" ht="12.75" customHeight="1">
      <c r="A19" s="4" t="s">
        <v>189</v>
      </c>
      <c r="B19" s="18" t="s">
        <v>164</v>
      </c>
      <c r="C19" s="19">
        <v>5</v>
      </c>
      <c r="D19" s="9">
        <v>0</v>
      </c>
      <c r="E19" s="9">
        <v>1</v>
      </c>
      <c r="F19" s="19">
        <v>6</v>
      </c>
      <c r="G19" s="9">
        <v>15</v>
      </c>
      <c r="H19" s="20">
        <v>16</v>
      </c>
      <c r="I19" s="19">
        <v>30</v>
      </c>
      <c r="J19" s="9">
        <v>7</v>
      </c>
      <c r="K19" s="20">
        <v>15</v>
      </c>
      <c r="L19" s="9"/>
      <c r="M19" s="21"/>
      <c r="N19" s="46"/>
      <c r="O19" s="624" t="s">
        <v>190</v>
      </c>
      <c r="P19" s="624"/>
      <c r="Q19" s="624"/>
      <c r="R19" s="624"/>
      <c r="S19" s="624"/>
      <c r="T19" s="624"/>
      <c r="U19" s="23" t="s">
        <v>165</v>
      </c>
      <c r="V19" s="1"/>
      <c r="W19" s="647"/>
      <c r="X19" s="648"/>
      <c r="Y19" s="648"/>
      <c r="Z19" s="648"/>
      <c r="AA19" s="649"/>
      <c r="AB19" s="1"/>
    </row>
    <row r="20" spans="1:28" ht="12.75" customHeight="1">
      <c r="A20" s="36" t="s">
        <v>191</v>
      </c>
      <c r="B20" s="37" t="s">
        <v>164</v>
      </c>
      <c r="C20" s="40">
        <v>4</v>
      </c>
      <c r="D20" s="39">
        <v>7</v>
      </c>
      <c r="E20" s="47">
        <v>2</v>
      </c>
      <c r="F20" s="40">
        <v>5</v>
      </c>
      <c r="G20" s="39">
        <v>10</v>
      </c>
      <c r="H20" s="38">
        <v>14</v>
      </c>
      <c r="I20" s="40">
        <v>30</v>
      </c>
      <c r="J20" s="39">
        <v>8</v>
      </c>
      <c r="K20" s="39">
        <v>10</v>
      </c>
      <c r="L20" s="9"/>
      <c r="M20" s="24"/>
      <c r="N20" s="3"/>
      <c r="O20" s="640" t="s">
        <v>190</v>
      </c>
      <c r="P20" s="640"/>
      <c r="Q20" s="640"/>
      <c r="R20" s="640"/>
      <c r="S20" s="640"/>
      <c r="T20" s="640"/>
      <c r="U20" s="44" t="s">
        <v>192</v>
      </c>
      <c r="V20" s="1"/>
      <c r="W20" s="647"/>
      <c r="X20" s="648"/>
      <c r="Y20" s="648"/>
      <c r="Z20" s="648"/>
      <c r="AA20" s="649"/>
      <c r="AB20" s="1"/>
    </row>
    <row r="21" spans="1:28" ht="12.75" customHeight="1">
      <c r="A21" s="26" t="s">
        <v>193</v>
      </c>
      <c r="B21" s="27" t="s">
        <v>164</v>
      </c>
      <c r="C21" s="29">
        <v>11</v>
      </c>
      <c r="D21" s="28">
        <v>0</v>
      </c>
      <c r="E21" s="28">
        <v>1</v>
      </c>
      <c r="F21" s="29">
        <v>12</v>
      </c>
      <c r="G21" s="29">
        <v>22</v>
      </c>
      <c r="H21" s="29">
        <v>16</v>
      </c>
      <c r="I21" s="28">
        <v>50</v>
      </c>
      <c r="J21" s="28">
        <v>7</v>
      </c>
      <c r="K21" s="28">
        <v>7</v>
      </c>
      <c r="L21" s="9"/>
      <c r="M21" s="24"/>
      <c r="N21" s="30"/>
      <c r="O21" s="650" t="s">
        <v>190</v>
      </c>
      <c r="P21" s="650"/>
      <c r="Q21" s="650"/>
      <c r="R21" s="650"/>
      <c r="S21" s="650"/>
      <c r="T21" s="650"/>
      <c r="U21" s="32"/>
      <c r="V21" s="1"/>
      <c r="W21" s="647"/>
      <c r="X21" s="648"/>
      <c r="Y21" s="648"/>
      <c r="Z21" s="648"/>
      <c r="AA21" s="649"/>
      <c r="AB21" s="1"/>
    </row>
    <row r="22" spans="1:28" ht="12.75" customHeight="1">
      <c r="A22" s="4" t="s">
        <v>194</v>
      </c>
      <c r="B22" s="18" t="s">
        <v>164</v>
      </c>
      <c r="C22" s="9">
        <v>7</v>
      </c>
      <c r="D22" s="9">
        <v>7</v>
      </c>
      <c r="E22" s="25">
        <v>2</v>
      </c>
      <c r="F22" s="9">
        <v>9</v>
      </c>
      <c r="G22" s="9">
        <v>12</v>
      </c>
      <c r="H22" s="20">
        <v>15</v>
      </c>
      <c r="I22" s="9">
        <v>50</v>
      </c>
      <c r="J22" s="9">
        <v>8</v>
      </c>
      <c r="K22" s="9">
        <v>5</v>
      </c>
      <c r="L22" s="9"/>
      <c r="M22" s="24"/>
      <c r="N22" s="30"/>
      <c r="O22" s="624" t="s">
        <v>190</v>
      </c>
      <c r="P22" s="624"/>
      <c r="Q22" s="624"/>
      <c r="R22" s="624"/>
      <c r="S22" s="624"/>
      <c r="T22" s="624"/>
      <c r="U22" s="23"/>
      <c r="V22" s="1"/>
      <c r="W22" s="625" t="s">
        <v>60</v>
      </c>
      <c r="X22" s="626"/>
      <c r="Y22" s="626"/>
      <c r="Z22" s="626"/>
      <c r="AA22" s="627"/>
      <c r="AB22" s="1"/>
    </row>
    <row r="23" spans="1:28" ht="12.75" customHeight="1">
      <c r="A23" s="1"/>
      <c r="B23" s="33"/>
      <c r="C23" s="3"/>
      <c r="D23" s="3"/>
      <c r="E23" s="3"/>
      <c r="F23" s="3"/>
      <c r="G23" s="3"/>
      <c r="H23" s="3"/>
      <c r="I23" s="3"/>
      <c r="J23" s="3"/>
      <c r="K23" s="48" t="s">
        <v>195</v>
      </c>
      <c r="L23" s="49"/>
      <c r="M23" s="50" t="s">
        <v>196</v>
      </c>
      <c r="N23" s="50" t="s">
        <v>197</v>
      </c>
      <c r="O23" s="35"/>
      <c r="P23" s="35"/>
      <c r="Q23" s="35"/>
      <c r="R23" s="35"/>
      <c r="S23" s="35"/>
      <c r="T23" s="35"/>
      <c r="U23" s="1"/>
      <c r="V23" s="1"/>
      <c r="W23" s="625"/>
      <c r="X23" s="626"/>
      <c r="Y23" s="626"/>
      <c r="Z23" s="626"/>
      <c r="AA23" s="627"/>
      <c r="AB23" s="1"/>
    </row>
    <row r="24" spans="1:28" ht="13.5" customHeight="1">
      <c r="A24" s="4" t="s">
        <v>136</v>
      </c>
      <c r="B24" s="18" t="s">
        <v>198</v>
      </c>
      <c r="C24" s="9">
        <v>10</v>
      </c>
      <c r="D24" s="9">
        <v>10</v>
      </c>
      <c r="E24" s="25">
        <v>2</v>
      </c>
      <c r="F24" s="9">
        <v>10</v>
      </c>
      <c r="G24" s="9">
        <v>10</v>
      </c>
      <c r="H24" s="9">
        <v>10</v>
      </c>
      <c r="I24" s="19">
        <v>200</v>
      </c>
      <c r="J24" s="9" t="s">
        <v>199</v>
      </c>
      <c r="K24" s="9" t="s">
        <v>200</v>
      </c>
      <c r="L24" s="9" t="s">
        <v>201</v>
      </c>
      <c r="M24" s="9">
        <v>3</v>
      </c>
      <c r="N24" s="9" t="s">
        <v>201</v>
      </c>
      <c r="O24" s="22"/>
      <c r="P24" s="22"/>
      <c r="Q24" s="22"/>
      <c r="R24" s="22"/>
      <c r="S24" s="22"/>
      <c r="T24" s="22"/>
      <c r="U24" s="23"/>
      <c r="V24" s="1"/>
      <c r="W24" s="625"/>
      <c r="X24" s="626"/>
      <c r="Y24" s="626"/>
      <c r="Z24" s="626"/>
      <c r="AA24" s="627"/>
      <c r="AB24" s="1"/>
    </row>
    <row r="25" spans="1:28" ht="13.5" customHeight="1">
      <c r="A25" s="4" t="s">
        <v>202</v>
      </c>
      <c r="B25" s="18" t="s">
        <v>198</v>
      </c>
      <c r="C25" s="9" t="s">
        <v>201</v>
      </c>
      <c r="D25" s="9" t="s">
        <v>201</v>
      </c>
      <c r="E25" s="9" t="s">
        <v>201</v>
      </c>
      <c r="F25" s="9" t="s">
        <v>201</v>
      </c>
      <c r="G25" s="9" t="s">
        <v>201</v>
      </c>
      <c r="H25" s="9" t="s">
        <v>201</v>
      </c>
      <c r="I25" s="9" t="s">
        <v>201</v>
      </c>
      <c r="J25" s="9" t="s">
        <v>201</v>
      </c>
      <c r="K25" s="9" t="s">
        <v>201</v>
      </c>
      <c r="L25" s="9" t="s">
        <v>201</v>
      </c>
      <c r="M25" s="9" t="s">
        <v>201</v>
      </c>
      <c r="N25" s="9" t="s">
        <v>201</v>
      </c>
      <c r="O25" s="22">
        <v>50</v>
      </c>
      <c r="P25" s="22">
        <v>15</v>
      </c>
      <c r="Q25" s="22"/>
      <c r="R25" s="22"/>
      <c r="S25" s="22"/>
      <c r="T25" s="22"/>
      <c r="U25" s="23"/>
      <c r="V25" s="1"/>
      <c r="W25" s="625"/>
      <c r="X25" s="626"/>
      <c r="Y25" s="626"/>
      <c r="Z25" s="626"/>
      <c r="AA25" s="627"/>
      <c r="AB25" s="1"/>
    </row>
    <row r="26" spans="1:28" ht="12.75" customHeight="1">
      <c r="A26" s="36" t="s">
        <v>135</v>
      </c>
      <c r="B26" s="37" t="s">
        <v>198</v>
      </c>
      <c r="C26" s="39">
        <v>10</v>
      </c>
      <c r="D26" s="39">
        <v>10</v>
      </c>
      <c r="E26" s="38">
        <v>3</v>
      </c>
      <c r="F26" s="39">
        <v>10</v>
      </c>
      <c r="G26" s="39">
        <v>10</v>
      </c>
      <c r="H26" s="39">
        <v>10</v>
      </c>
      <c r="I26" s="38">
        <v>1000</v>
      </c>
      <c r="J26" s="38" t="s">
        <v>203</v>
      </c>
      <c r="K26" s="38" t="s">
        <v>204</v>
      </c>
      <c r="L26" s="51" t="s">
        <v>205</v>
      </c>
      <c r="M26" s="52">
        <v>10</v>
      </c>
      <c r="N26" s="9" t="s">
        <v>201</v>
      </c>
      <c r="O26" s="43"/>
      <c r="P26" s="43"/>
      <c r="Q26" s="43"/>
      <c r="R26" s="43"/>
      <c r="S26" s="43"/>
      <c r="T26" s="43"/>
      <c r="U26" s="44"/>
      <c r="V26" s="1"/>
      <c r="W26" s="625"/>
      <c r="X26" s="626"/>
      <c r="Y26" s="626"/>
      <c r="Z26" s="626"/>
      <c r="AA26" s="627"/>
      <c r="AB26" s="1"/>
    </row>
    <row r="27" spans="1:37" ht="12.75">
      <c r="A27" s="4" t="s">
        <v>206</v>
      </c>
      <c r="B27" s="18" t="s">
        <v>198</v>
      </c>
      <c r="C27" s="9">
        <v>0</v>
      </c>
      <c r="D27" s="9">
        <v>0</v>
      </c>
      <c r="E27" s="20">
        <v>3</v>
      </c>
      <c r="F27" s="9">
        <v>0</v>
      </c>
      <c r="G27" s="9">
        <v>0</v>
      </c>
      <c r="H27" s="9">
        <v>0</v>
      </c>
      <c r="I27" s="20">
        <v>1000</v>
      </c>
      <c r="J27" s="51">
        <v>1</v>
      </c>
      <c r="K27" s="53" t="s">
        <v>207</v>
      </c>
      <c r="L27" s="53" t="s">
        <v>207</v>
      </c>
      <c r="M27" s="20" t="s">
        <v>204</v>
      </c>
      <c r="N27" s="9" t="s">
        <v>201</v>
      </c>
      <c r="O27" s="43">
        <v>80</v>
      </c>
      <c r="P27" s="43">
        <v>40</v>
      </c>
      <c r="Q27" s="43"/>
      <c r="R27" s="43">
        <v>10</v>
      </c>
      <c r="S27" s="23"/>
      <c r="T27" s="23"/>
      <c r="U27" s="54"/>
      <c r="V27" s="1"/>
      <c r="W27" s="625"/>
      <c r="X27" s="626"/>
      <c r="Y27" s="626"/>
      <c r="Z27" s="626"/>
      <c r="AA27" s="627"/>
      <c r="AB27" s="1"/>
      <c r="AF27" s="15"/>
      <c r="AK27" s="14"/>
    </row>
    <row r="28" spans="1:28" ht="12.75" customHeight="1">
      <c r="A28" s="4" t="s">
        <v>138</v>
      </c>
      <c r="B28" s="18" t="s">
        <v>198</v>
      </c>
      <c r="C28" s="9">
        <v>5</v>
      </c>
      <c r="D28" s="20">
        <v>25</v>
      </c>
      <c r="E28" s="20">
        <v>5</v>
      </c>
      <c r="F28" s="9">
        <v>10</v>
      </c>
      <c r="G28" s="20">
        <v>20</v>
      </c>
      <c r="H28" s="9">
        <v>10</v>
      </c>
      <c r="I28" s="19">
        <v>200</v>
      </c>
      <c r="J28" s="9">
        <v>7</v>
      </c>
      <c r="K28" s="9">
        <v>0</v>
      </c>
      <c r="L28" s="9" t="s">
        <v>201</v>
      </c>
      <c r="M28" s="9">
        <v>0</v>
      </c>
      <c r="N28" s="9" t="s">
        <v>201</v>
      </c>
      <c r="O28" s="22">
        <v>10</v>
      </c>
      <c r="P28" s="22">
        <v>5</v>
      </c>
      <c r="Q28" s="22">
        <v>5</v>
      </c>
      <c r="R28" s="22">
        <v>5</v>
      </c>
      <c r="S28" s="22"/>
      <c r="T28" s="22"/>
      <c r="U28" s="23"/>
      <c r="V28" s="1"/>
      <c r="W28" s="625"/>
      <c r="X28" s="626"/>
      <c r="Y28" s="626"/>
      <c r="Z28" s="626"/>
      <c r="AA28" s="627"/>
      <c r="AB28" s="1"/>
    </row>
    <row r="29" spans="1:28" ht="12.75" customHeight="1">
      <c r="A29" s="4" t="s">
        <v>144</v>
      </c>
      <c r="B29" s="18" t="s">
        <v>198</v>
      </c>
      <c r="C29" s="9">
        <v>0</v>
      </c>
      <c r="D29" s="20">
        <v>50</v>
      </c>
      <c r="E29" s="20">
        <v>3</v>
      </c>
      <c r="F29" s="9">
        <v>8</v>
      </c>
      <c r="G29" s="20">
        <v>20</v>
      </c>
      <c r="H29" s="9">
        <v>10</v>
      </c>
      <c r="I29" s="8">
        <v>300</v>
      </c>
      <c r="J29" s="19">
        <v>5</v>
      </c>
      <c r="K29" s="9">
        <v>0</v>
      </c>
      <c r="L29" s="9" t="s">
        <v>201</v>
      </c>
      <c r="M29" s="9">
        <v>0</v>
      </c>
      <c r="N29" s="9" t="s">
        <v>201</v>
      </c>
      <c r="O29" s="22">
        <v>30</v>
      </c>
      <c r="P29" s="22"/>
      <c r="Q29" s="22"/>
      <c r="R29" s="22">
        <v>35</v>
      </c>
      <c r="S29" s="22"/>
      <c r="T29" s="22"/>
      <c r="U29" s="23"/>
      <c r="V29" s="1"/>
      <c r="W29" s="625"/>
      <c r="X29" s="626"/>
      <c r="Y29" s="626"/>
      <c r="Z29" s="626"/>
      <c r="AA29" s="627"/>
      <c r="AB29" s="1"/>
    </row>
    <row r="30" spans="1:28" ht="12.75" customHeight="1">
      <c r="A30" s="4" t="s">
        <v>141</v>
      </c>
      <c r="B30" s="18" t="s">
        <v>198</v>
      </c>
      <c r="C30" s="9">
        <v>0</v>
      </c>
      <c r="D30" s="9">
        <v>0</v>
      </c>
      <c r="E30" s="9">
        <v>0</v>
      </c>
      <c r="F30" s="9">
        <v>10</v>
      </c>
      <c r="G30" s="9">
        <v>10</v>
      </c>
      <c r="H30" s="9">
        <v>10</v>
      </c>
      <c r="I30" s="8">
        <v>300</v>
      </c>
      <c r="J30" s="20">
        <v>20</v>
      </c>
      <c r="K30" s="25" t="s">
        <v>208</v>
      </c>
      <c r="L30" s="9" t="s">
        <v>201</v>
      </c>
      <c r="M30" s="9">
        <v>0</v>
      </c>
      <c r="N30" s="9" t="s">
        <v>201</v>
      </c>
      <c r="O30" s="22">
        <v>50</v>
      </c>
      <c r="P30" s="22">
        <v>20</v>
      </c>
      <c r="Q30" s="22"/>
      <c r="R30" s="22">
        <v>10</v>
      </c>
      <c r="S30" s="22"/>
      <c r="T30" s="22">
        <v>1</v>
      </c>
      <c r="U30" s="23"/>
      <c r="V30" s="1"/>
      <c r="W30" s="625"/>
      <c r="X30" s="626"/>
      <c r="Y30" s="626"/>
      <c r="Z30" s="626"/>
      <c r="AA30" s="627"/>
      <c r="AB30" s="1"/>
    </row>
    <row r="31" spans="1:28" ht="13.5" customHeight="1" thickBot="1">
      <c r="A31" s="4" t="s">
        <v>137</v>
      </c>
      <c r="B31" s="18" t="s">
        <v>198</v>
      </c>
      <c r="C31" s="9">
        <v>10</v>
      </c>
      <c r="D31" s="9">
        <v>10</v>
      </c>
      <c r="E31" s="20">
        <v>3</v>
      </c>
      <c r="F31" s="9">
        <v>10</v>
      </c>
      <c r="G31" s="9">
        <v>10</v>
      </c>
      <c r="H31" s="9">
        <v>10</v>
      </c>
      <c r="I31" s="19">
        <v>250</v>
      </c>
      <c r="J31" s="9">
        <v>8</v>
      </c>
      <c r="K31" s="9">
        <v>0</v>
      </c>
      <c r="L31" s="9" t="s">
        <v>201</v>
      </c>
      <c r="M31" s="9">
        <v>2</v>
      </c>
      <c r="N31" s="9" t="s">
        <v>201</v>
      </c>
      <c r="O31" s="22">
        <v>50</v>
      </c>
      <c r="P31" s="22"/>
      <c r="Q31" s="22"/>
      <c r="R31" s="22">
        <v>10</v>
      </c>
      <c r="S31" s="22"/>
      <c r="T31" s="22"/>
      <c r="U31" s="23"/>
      <c r="V31" s="1"/>
      <c r="W31" s="628"/>
      <c r="X31" s="629"/>
      <c r="Y31" s="629"/>
      <c r="Z31" s="629"/>
      <c r="AA31" s="630"/>
      <c r="AB31" s="1"/>
    </row>
    <row r="32" spans="1:28" ht="13.5" customHeight="1">
      <c r="A32" s="4" t="s">
        <v>209</v>
      </c>
      <c r="B32" s="18" t="s">
        <v>198</v>
      </c>
      <c r="C32" s="9" t="s">
        <v>201</v>
      </c>
      <c r="D32" s="9" t="s">
        <v>201</v>
      </c>
      <c r="E32" s="9" t="s">
        <v>201</v>
      </c>
      <c r="F32" s="9" t="s">
        <v>201</v>
      </c>
      <c r="G32" s="9" t="s">
        <v>201</v>
      </c>
      <c r="H32" s="9" t="s">
        <v>201</v>
      </c>
      <c r="I32" s="9" t="s">
        <v>201</v>
      </c>
      <c r="J32" s="9" t="s">
        <v>201</v>
      </c>
      <c r="K32" s="9" t="s">
        <v>201</v>
      </c>
      <c r="L32" s="9" t="s">
        <v>201</v>
      </c>
      <c r="M32" s="9" t="s">
        <v>201</v>
      </c>
      <c r="N32" s="9" t="s">
        <v>201</v>
      </c>
      <c r="O32" s="22">
        <v>50</v>
      </c>
      <c r="P32" s="22"/>
      <c r="Q32" s="22"/>
      <c r="R32" s="22">
        <v>10</v>
      </c>
      <c r="S32" s="22"/>
      <c r="T32" s="22"/>
      <c r="U32" s="23"/>
      <c r="V32" s="1"/>
      <c r="W32" s="55"/>
      <c r="X32" s="55"/>
      <c r="Y32" s="55"/>
      <c r="Z32" s="55"/>
      <c r="AA32" s="55"/>
      <c r="AB32" s="1"/>
    </row>
    <row r="33" spans="1:28" ht="12.75">
      <c r="A33" s="4" t="s">
        <v>142</v>
      </c>
      <c r="B33" s="18" t="s">
        <v>198</v>
      </c>
      <c r="C33" s="9">
        <v>0</v>
      </c>
      <c r="D33" s="9">
        <v>0</v>
      </c>
      <c r="E33" s="9">
        <v>0</v>
      </c>
      <c r="F33" s="9">
        <v>10</v>
      </c>
      <c r="G33" s="20">
        <v>15</v>
      </c>
      <c r="H33" s="9">
        <v>10</v>
      </c>
      <c r="I33" s="20">
        <v>2000</v>
      </c>
      <c r="J33" s="9">
        <v>0</v>
      </c>
      <c r="K33" s="9" t="s">
        <v>210</v>
      </c>
      <c r="L33" s="25" t="s">
        <v>211</v>
      </c>
      <c r="M33" s="9">
        <v>0</v>
      </c>
      <c r="N33" s="9" t="s">
        <v>201</v>
      </c>
      <c r="O33" s="22"/>
      <c r="P33" s="22"/>
      <c r="Q33" s="22"/>
      <c r="R33" s="22"/>
      <c r="S33" s="22"/>
      <c r="T33" s="22"/>
      <c r="U33" s="23"/>
      <c r="V33" s="1"/>
      <c r="W33" s="5"/>
      <c r="X33" s="5"/>
      <c r="Y33" s="5"/>
      <c r="Z33" s="5"/>
      <c r="AA33" s="5"/>
      <c r="AB33" s="1"/>
    </row>
    <row r="34" spans="1:37" ht="13.5" thickBot="1">
      <c r="A34" s="4" t="s">
        <v>212</v>
      </c>
      <c r="B34" s="18" t="s">
        <v>198</v>
      </c>
      <c r="C34" s="9">
        <v>0</v>
      </c>
      <c r="D34" s="9">
        <v>0</v>
      </c>
      <c r="E34" s="9">
        <v>0</v>
      </c>
      <c r="F34" s="9">
        <v>10</v>
      </c>
      <c r="G34" s="53">
        <v>10</v>
      </c>
      <c r="H34" s="9">
        <v>10</v>
      </c>
      <c r="I34" s="20">
        <v>500</v>
      </c>
      <c r="J34" s="25">
        <v>5</v>
      </c>
      <c r="K34" s="9" t="s">
        <v>213</v>
      </c>
      <c r="L34" s="9" t="s">
        <v>213</v>
      </c>
      <c r="M34" s="9" t="s">
        <v>201</v>
      </c>
      <c r="N34" s="9" t="s">
        <v>201</v>
      </c>
      <c r="O34" s="22">
        <v>50</v>
      </c>
      <c r="P34" s="22">
        <v>20</v>
      </c>
      <c r="Q34" s="22">
        <v>20</v>
      </c>
      <c r="R34" s="23"/>
      <c r="S34" s="23"/>
      <c r="T34" s="23"/>
      <c r="U34" s="23"/>
      <c r="V34" s="1"/>
      <c r="W34" s="1"/>
      <c r="X34" s="1"/>
      <c r="Y34" s="1"/>
      <c r="Z34" s="1"/>
      <c r="AA34" s="1"/>
      <c r="AB34" s="1"/>
      <c r="AF34" s="15"/>
      <c r="AK34" s="14"/>
    </row>
    <row r="35" spans="1:28" ht="12.75" customHeight="1">
      <c r="A35" s="4" t="s">
        <v>139</v>
      </c>
      <c r="B35" s="18" t="s">
        <v>198</v>
      </c>
      <c r="C35" s="9">
        <v>0</v>
      </c>
      <c r="D35" s="9">
        <v>0</v>
      </c>
      <c r="E35" s="9">
        <v>0</v>
      </c>
      <c r="F35" s="19">
        <v>5</v>
      </c>
      <c r="G35" s="19">
        <v>5</v>
      </c>
      <c r="H35" s="9">
        <v>10</v>
      </c>
      <c r="I35" s="20">
        <v>1000</v>
      </c>
      <c r="J35" s="9">
        <v>0</v>
      </c>
      <c r="K35" s="9">
        <v>0</v>
      </c>
      <c r="L35" s="25" t="s">
        <v>214</v>
      </c>
      <c r="M35" s="9">
        <v>0</v>
      </c>
      <c r="N35" s="9" t="s">
        <v>201</v>
      </c>
      <c r="O35" s="22"/>
      <c r="P35" s="22"/>
      <c r="Q35" s="22"/>
      <c r="R35" s="22"/>
      <c r="S35" s="22"/>
      <c r="T35" s="22"/>
      <c r="U35" s="23"/>
      <c r="V35" s="1"/>
      <c r="W35" s="631" t="s">
        <v>61</v>
      </c>
      <c r="X35" s="632"/>
      <c r="Y35" s="632"/>
      <c r="Z35" s="632"/>
      <c r="AA35" s="633"/>
      <c r="AB35" s="1"/>
    </row>
    <row r="36" spans="1:28" ht="12.75" customHeight="1">
      <c r="A36" s="4" t="s">
        <v>215</v>
      </c>
      <c r="B36" s="18" t="s">
        <v>198</v>
      </c>
      <c r="C36" s="9" t="s">
        <v>201</v>
      </c>
      <c r="D36" s="9" t="s">
        <v>201</v>
      </c>
      <c r="E36" s="9" t="s">
        <v>201</v>
      </c>
      <c r="F36" s="9" t="s">
        <v>201</v>
      </c>
      <c r="G36" s="9" t="s">
        <v>201</v>
      </c>
      <c r="H36" s="9" t="s">
        <v>201</v>
      </c>
      <c r="I36" s="9" t="s">
        <v>201</v>
      </c>
      <c r="J36" s="9" t="s">
        <v>201</v>
      </c>
      <c r="K36" s="9" t="s">
        <v>201</v>
      </c>
      <c r="L36" s="9" t="s">
        <v>201</v>
      </c>
      <c r="M36" s="9" t="s">
        <v>201</v>
      </c>
      <c r="N36" s="9" t="s">
        <v>201</v>
      </c>
      <c r="O36" s="22">
        <v>50</v>
      </c>
      <c r="P36" s="22">
        <v>20</v>
      </c>
      <c r="Q36" s="22">
        <v>5</v>
      </c>
      <c r="R36" s="22"/>
      <c r="S36" s="22"/>
      <c r="T36" s="22"/>
      <c r="U36" s="23"/>
      <c r="V36" s="1"/>
      <c r="W36" s="634"/>
      <c r="X36" s="635"/>
      <c r="Y36" s="635"/>
      <c r="Z36" s="635"/>
      <c r="AA36" s="636"/>
      <c r="AB36" s="1"/>
    </row>
    <row r="37" spans="1:28" ht="12.75">
      <c r="A37" s="4" t="s">
        <v>146</v>
      </c>
      <c r="B37" s="18" t="s">
        <v>198</v>
      </c>
      <c r="C37" s="9">
        <v>0</v>
      </c>
      <c r="D37" s="9">
        <v>0</v>
      </c>
      <c r="E37" s="9">
        <v>0</v>
      </c>
      <c r="F37" s="9">
        <v>8</v>
      </c>
      <c r="G37" s="9">
        <v>12</v>
      </c>
      <c r="H37" s="9">
        <v>10</v>
      </c>
      <c r="I37" s="19">
        <v>200</v>
      </c>
      <c r="J37" s="19" t="s">
        <v>216</v>
      </c>
      <c r="K37" s="20" t="s">
        <v>217</v>
      </c>
      <c r="L37" s="9" t="s">
        <v>213</v>
      </c>
      <c r="M37" s="53">
        <v>0</v>
      </c>
      <c r="N37" s="53">
        <v>40</v>
      </c>
      <c r="O37" s="22">
        <v>60</v>
      </c>
      <c r="P37" s="22">
        <v>25</v>
      </c>
      <c r="Q37" s="22"/>
      <c r="R37" s="22">
        <v>10</v>
      </c>
      <c r="S37" s="22"/>
      <c r="T37" s="22"/>
      <c r="U37" s="23"/>
      <c r="V37" s="1"/>
      <c r="W37" s="634"/>
      <c r="X37" s="635"/>
      <c r="Y37" s="635"/>
      <c r="Z37" s="635"/>
      <c r="AA37" s="636"/>
      <c r="AB37" s="1"/>
    </row>
    <row r="38" spans="1:28" ht="12.75">
      <c r="A38" s="4" t="s">
        <v>143</v>
      </c>
      <c r="B38" s="18" t="s">
        <v>198</v>
      </c>
      <c r="C38" s="9">
        <v>0</v>
      </c>
      <c r="D38" s="9">
        <v>0</v>
      </c>
      <c r="E38" s="9">
        <v>0</v>
      </c>
      <c r="F38" s="9">
        <v>10</v>
      </c>
      <c r="G38" s="20">
        <v>15</v>
      </c>
      <c r="H38" s="9">
        <v>10</v>
      </c>
      <c r="I38" s="20">
        <v>5000</v>
      </c>
      <c r="J38" s="9">
        <v>0</v>
      </c>
      <c r="K38" s="20" t="s">
        <v>218</v>
      </c>
      <c r="L38" s="9" t="s">
        <v>201</v>
      </c>
      <c r="M38" s="53">
        <v>0</v>
      </c>
      <c r="N38" s="9" t="s">
        <v>201</v>
      </c>
      <c r="O38" s="22"/>
      <c r="P38" s="22"/>
      <c r="Q38" s="22"/>
      <c r="R38" s="22"/>
      <c r="S38" s="22"/>
      <c r="T38" s="22"/>
      <c r="U38" s="23"/>
      <c r="V38" s="1"/>
      <c r="W38" s="634"/>
      <c r="X38" s="635"/>
      <c r="Y38" s="635"/>
      <c r="Z38" s="635"/>
      <c r="AA38" s="636"/>
      <c r="AB38" s="1"/>
    </row>
    <row r="39" spans="1:28" ht="12.75">
      <c r="A39" s="4" t="s">
        <v>219</v>
      </c>
      <c r="B39" s="18" t="s">
        <v>198</v>
      </c>
      <c r="C39" s="9">
        <v>0</v>
      </c>
      <c r="D39" s="9">
        <v>0</v>
      </c>
      <c r="E39" s="9">
        <v>0</v>
      </c>
      <c r="F39" s="9">
        <v>10</v>
      </c>
      <c r="G39" s="9">
        <v>10</v>
      </c>
      <c r="H39" s="9">
        <v>10</v>
      </c>
      <c r="I39" s="9">
        <v>500</v>
      </c>
      <c r="J39" s="25">
        <v>5</v>
      </c>
      <c r="K39" s="9" t="s">
        <v>235</v>
      </c>
      <c r="L39" s="9" t="s">
        <v>201</v>
      </c>
      <c r="M39" s="9" t="s">
        <v>201</v>
      </c>
      <c r="N39" s="9" t="s">
        <v>201</v>
      </c>
      <c r="O39" s="22">
        <v>100</v>
      </c>
      <c r="P39" s="22">
        <v>50</v>
      </c>
      <c r="Q39" s="22"/>
      <c r="R39" s="22">
        <v>20</v>
      </c>
      <c r="S39" s="22"/>
      <c r="T39" s="22"/>
      <c r="U39" s="23"/>
      <c r="V39" s="1"/>
      <c r="W39" s="634"/>
      <c r="X39" s="635"/>
      <c r="Y39" s="635"/>
      <c r="Z39" s="635"/>
      <c r="AA39" s="636"/>
      <c r="AB39" s="1"/>
    </row>
    <row r="40" spans="1:28" ht="12.75">
      <c r="A40" s="26" t="s">
        <v>145</v>
      </c>
      <c r="B40" s="27" t="s">
        <v>198</v>
      </c>
      <c r="C40" s="28">
        <v>0</v>
      </c>
      <c r="D40" s="28">
        <v>0</v>
      </c>
      <c r="E40" s="28">
        <v>0</v>
      </c>
      <c r="F40" s="45">
        <v>5</v>
      </c>
      <c r="G40" s="28">
        <v>5</v>
      </c>
      <c r="H40" s="28">
        <v>10</v>
      </c>
      <c r="I40" s="45">
        <v>200</v>
      </c>
      <c r="J40" s="45">
        <v>3</v>
      </c>
      <c r="K40" s="28" t="s">
        <v>210</v>
      </c>
      <c r="L40" s="9" t="s">
        <v>201</v>
      </c>
      <c r="M40" s="28">
        <v>0</v>
      </c>
      <c r="N40" s="9" t="s">
        <v>201</v>
      </c>
      <c r="O40" s="31"/>
      <c r="P40" s="31">
        <v>15</v>
      </c>
      <c r="Q40" s="31"/>
      <c r="R40" s="31">
        <v>25</v>
      </c>
      <c r="S40" s="31"/>
      <c r="T40" s="31"/>
      <c r="U40" s="32"/>
      <c r="V40" s="1"/>
      <c r="W40" s="634"/>
      <c r="X40" s="635"/>
      <c r="Y40" s="635"/>
      <c r="Z40" s="635"/>
      <c r="AA40" s="636"/>
      <c r="AB40" s="1"/>
    </row>
    <row r="41" spans="1:28" ht="13.5" thickBot="1">
      <c r="A41" s="4" t="s">
        <v>148</v>
      </c>
      <c r="B41" s="18" t="s">
        <v>198</v>
      </c>
      <c r="C41" s="9">
        <v>0</v>
      </c>
      <c r="D41" s="9">
        <v>0</v>
      </c>
      <c r="E41" s="9">
        <v>0</v>
      </c>
      <c r="F41" s="9">
        <v>10</v>
      </c>
      <c r="G41" s="9">
        <v>10</v>
      </c>
      <c r="H41" s="9">
        <v>10</v>
      </c>
      <c r="I41" s="8">
        <v>300</v>
      </c>
      <c r="J41" s="19">
        <v>4</v>
      </c>
      <c r="K41" s="9" t="s">
        <v>217</v>
      </c>
      <c r="L41" s="9" t="s">
        <v>201</v>
      </c>
      <c r="M41" s="9">
        <v>0</v>
      </c>
      <c r="N41" s="9" t="s">
        <v>201</v>
      </c>
      <c r="O41" s="22">
        <v>150</v>
      </c>
      <c r="P41" s="22"/>
      <c r="Q41" s="22">
        <v>90</v>
      </c>
      <c r="R41" s="22"/>
      <c r="S41" s="22"/>
      <c r="T41" s="22"/>
      <c r="U41" s="23" t="s">
        <v>220</v>
      </c>
      <c r="V41" s="1"/>
      <c r="W41" s="637"/>
      <c r="X41" s="638"/>
      <c r="Y41" s="638"/>
      <c r="Z41" s="638"/>
      <c r="AA41" s="639"/>
      <c r="AB41" s="1"/>
    </row>
    <row r="42" spans="1:28" ht="12.75">
      <c r="A42" s="1"/>
      <c r="B42" s="33"/>
      <c r="C42" s="3"/>
      <c r="D42" s="3"/>
      <c r="E42" s="3"/>
      <c r="F42" s="3"/>
      <c r="G42" s="3"/>
      <c r="H42" s="3"/>
      <c r="I42" s="3"/>
      <c r="J42" s="3"/>
      <c r="K42" s="56"/>
      <c r="L42" s="56"/>
      <c r="M42" s="57"/>
      <c r="N42" s="3"/>
      <c r="O42" s="35"/>
      <c r="P42" s="35"/>
      <c r="Q42" s="35"/>
      <c r="R42" s="35"/>
      <c r="S42" s="35"/>
      <c r="T42" s="35"/>
      <c r="U42" s="1"/>
      <c r="V42" s="1"/>
      <c r="W42" s="1"/>
      <c r="X42" s="1"/>
      <c r="Y42" s="1"/>
      <c r="Z42" s="1"/>
      <c r="AA42" s="1"/>
      <c r="AB42" s="1"/>
    </row>
    <row r="43" spans="1:28" ht="12.75">
      <c r="A43" s="4" t="s">
        <v>221</v>
      </c>
      <c r="B43" s="18" t="s">
        <v>198</v>
      </c>
      <c r="C43" s="20">
        <v>20</v>
      </c>
      <c r="D43" s="20">
        <v>20</v>
      </c>
      <c r="E43" s="20">
        <v>4</v>
      </c>
      <c r="F43" s="20">
        <v>30</v>
      </c>
      <c r="G43" s="20">
        <v>40</v>
      </c>
      <c r="H43" s="9">
        <v>30</v>
      </c>
      <c r="I43" s="20">
        <v>5000</v>
      </c>
      <c r="J43" s="20">
        <v>10</v>
      </c>
      <c r="K43" s="20" t="s">
        <v>204</v>
      </c>
      <c r="L43" s="53" t="s">
        <v>201</v>
      </c>
      <c r="M43" s="21"/>
      <c r="N43" s="46"/>
      <c r="O43" s="624" t="s">
        <v>222</v>
      </c>
      <c r="P43" s="624"/>
      <c r="Q43" s="624"/>
      <c r="R43" s="624"/>
      <c r="S43" s="624"/>
      <c r="T43" s="624"/>
      <c r="U43" s="23"/>
      <c r="V43" s="1"/>
      <c r="W43" s="1"/>
      <c r="X43" s="1"/>
      <c r="Y43" s="1"/>
      <c r="Z43" s="1"/>
      <c r="AA43" s="1"/>
      <c r="AB43" s="1"/>
    </row>
    <row r="44" spans="1:37" ht="12.75">
      <c r="A44" s="36" t="s">
        <v>223</v>
      </c>
      <c r="B44" s="37" t="s">
        <v>198</v>
      </c>
      <c r="C44" s="39">
        <v>8</v>
      </c>
      <c r="D44" s="39">
        <v>0</v>
      </c>
      <c r="E44" s="39">
        <v>1</v>
      </c>
      <c r="F44" s="38">
        <v>15</v>
      </c>
      <c r="G44" s="39">
        <v>8</v>
      </c>
      <c r="H44" s="39">
        <v>10</v>
      </c>
      <c r="I44" s="38">
        <v>1500</v>
      </c>
      <c r="J44" s="39">
        <v>5</v>
      </c>
      <c r="K44" s="39" t="s">
        <v>210</v>
      </c>
      <c r="L44" s="53" t="s">
        <v>201</v>
      </c>
      <c r="M44" s="24"/>
      <c r="N44" s="3"/>
      <c r="O44" s="640" t="s">
        <v>222</v>
      </c>
      <c r="P44" s="640"/>
      <c r="Q44" s="640"/>
      <c r="R44" s="640"/>
      <c r="S44" s="640"/>
      <c r="T44" s="640"/>
      <c r="U44" s="44"/>
      <c r="V44" s="1"/>
      <c r="W44" s="1"/>
      <c r="X44" s="1"/>
      <c r="Y44" s="1"/>
      <c r="Z44" s="1"/>
      <c r="AA44" s="1"/>
      <c r="AB44" s="1"/>
      <c r="AF44" s="15"/>
      <c r="AK44" s="14"/>
    </row>
    <row r="45" spans="1:37" ht="12.75">
      <c r="A45" s="4" t="s">
        <v>224</v>
      </c>
      <c r="B45" s="18" t="s">
        <v>198</v>
      </c>
      <c r="C45" s="9" t="s">
        <v>201</v>
      </c>
      <c r="D45" s="9" t="s">
        <v>201</v>
      </c>
      <c r="E45" s="9">
        <v>1</v>
      </c>
      <c r="F45" s="9" t="s">
        <v>201</v>
      </c>
      <c r="G45" s="9" t="s">
        <v>201</v>
      </c>
      <c r="H45" s="9">
        <v>10</v>
      </c>
      <c r="I45" s="9" t="s">
        <v>201</v>
      </c>
      <c r="J45" s="9" t="s">
        <v>201</v>
      </c>
      <c r="K45" s="9">
        <v>0</v>
      </c>
      <c r="L45" s="53" t="s">
        <v>201</v>
      </c>
      <c r="M45" s="24"/>
      <c r="N45" s="3"/>
      <c r="O45" s="624" t="s">
        <v>225</v>
      </c>
      <c r="P45" s="624"/>
      <c r="Q45" s="624"/>
      <c r="R45" s="624"/>
      <c r="S45" s="624"/>
      <c r="T45" s="624"/>
      <c r="U45" s="58" t="s">
        <v>226</v>
      </c>
      <c r="V45" s="1"/>
      <c r="W45" s="1"/>
      <c r="X45" s="1"/>
      <c r="Y45" s="1"/>
      <c r="Z45" s="1"/>
      <c r="AA45" s="1"/>
      <c r="AB45" s="1"/>
      <c r="AF45" s="15"/>
      <c r="AK45" s="14"/>
    </row>
    <row r="46" spans="1:37" ht="15">
      <c r="A46" s="622" t="s">
        <v>227</v>
      </c>
      <c r="B46" s="622"/>
      <c r="C46" s="622"/>
      <c r="D46" s="622"/>
      <c r="E46" s="622"/>
      <c r="F46" s="622"/>
      <c r="G46" s="622"/>
      <c r="H46" s="622"/>
      <c r="I46" s="622"/>
      <c r="J46" s="622"/>
      <c r="K46" s="623" t="s">
        <v>228</v>
      </c>
      <c r="L46" s="623"/>
      <c r="M46" s="623"/>
      <c r="N46" s="623"/>
      <c r="O46" s="623"/>
      <c r="P46" s="623"/>
      <c r="Q46" s="623"/>
      <c r="R46" s="623"/>
      <c r="S46" s="623"/>
      <c r="T46" s="623"/>
      <c r="U46" s="623"/>
      <c r="V46" s="1"/>
      <c r="W46" s="1"/>
      <c r="X46" s="1"/>
      <c r="Y46" s="1"/>
      <c r="Z46" s="1"/>
      <c r="AA46" s="1"/>
      <c r="AB46" s="1"/>
      <c r="AF46" s="15"/>
      <c r="AK46" s="14"/>
    </row>
    <row r="47" spans="12:37" ht="12.75">
      <c r="L47" s="14"/>
      <c r="AF47" s="15"/>
      <c r="AK47" s="14"/>
    </row>
    <row r="48" ht="12.75">
      <c r="L48" s="14"/>
    </row>
    <row r="49" ht="12.75">
      <c r="L49" s="14"/>
    </row>
    <row r="50" ht="12.75">
      <c r="L50" s="194"/>
    </row>
    <row r="51" ht="12.75">
      <c r="L51" s="11"/>
    </row>
    <row r="52" ht="12.75">
      <c r="L52" s="14"/>
    </row>
    <row r="53" ht="12.75">
      <c r="L53" s="14"/>
    </row>
    <row r="54" ht="12.75">
      <c r="L54" s="14"/>
    </row>
    <row r="55" ht="12.75">
      <c r="L55" s="14"/>
    </row>
    <row r="56" ht="12.75">
      <c r="L56" s="14"/>
    </row>
    <row r="57" ht="12.75">
      <c r="L57" s="14"/>
    </row>
    <row r="58" ht="12.75">
      <c r="L58" s="14"/>
    </row>
    <row r="59" ht="12.75">
      <c r="L59" s="14"/>
    </row>
    <row r="60" ht="12.75">
      <c r="L60" s="14"/>
    </row>
    <row r="61" ht="12.75">
      <c r="L61" s="14"/>
    </row>
    <row r="62" ht="12.75">
      <c r="L62" s="14"/>
    </row>
    <row r="63" ht="12.75">
      <c r="L63" s="14"/>
    </row>
    <row r="64" ht="12.75">
      <c r="L64" s="14"/>
    </row>
    <row r="65" ht="12.75">
      <c r="L65" s="14"/>
    </row>
    <row r="66" ht="12.75">
      <c r="L66" s="14"/>
    </row>
    <row r="67" ht="12.75">
      <c r="L67" s="14"/>
    </row>
    <row r="68" ht="12.75">
      <c r="L68" s="14"/>
    </row>
    <row r="69" ht="12.75">
      <c r="L69" s="14"/>
    </row>
    <row r="70" ht="12.75">
      <c r="L70" s="14"/>
    </row>
    <row r="71" ht="12.75">
      <c r="L71" s="14"/>
    </row>
    <row r="72" ht="12.75">
      <c r="L72" s="14"/>
    </row>
    <row r="73" ht="12.75">
      <c r="L73" s="14"/>
    </row>
    <row r="74" ht="12.75">
      <c r="L74" s="14"/>
    </row>
    <row r="75" ht="12.75">
      <c r="L75" s="14"/>
    </row>
    <row r="76" ht="12.75">
      <c r="L76" s="14"/>
    </row>
    <row r="77" ht="12.75">
      <c r="L77" s="14"/>
    </row>
    <row r="78" ht="12.75">
      <c r="L78" s="14"/>
    </row>
    <row r="79" ht="12.75">
      <c r="L79" s="14"/>
    </row>
    <row r="80" ht="12.75">
      <c r="L80" s="14"/>
    </row>
    <row r="81" ht="12.75">
      <c r="L81" s="14"/>
    </row>
    <row r="82" ht="12.75">
      <c r="L82" s="14"/>
    </row>
    <row r="83" ht="12.75">
      <c r="L83" s="14"/>
    </row>
    <row r="84" ht="12.75">
      <c r="L84" s="14"/>
    </row>
    <row r="85" ht="12.75">
      <c r="L85" s="14"/>
    </row>
    <row r="86" ht="12.75">
      <c r="L86" s="14"/>
    </row>
    <row r="87" ht="12.75">
      <c r="L87" s="14"/>
    </row>
    <row r="88" ht="12.75">
      <c r="L88" s="14"/>
    </row>
    <row r="89" ht="12.75">
      <c r="L89" s="14"/>
    </row>
    <row r="90" ht="12.75">
      <c r="L90" s="14"/>
    </row>
    <row r="91" ht="12.75">
      <c r="L91" s="14"/>
    </row>
    <row r="92" ht="12.75">
      <c r="L92" s="14"/>
    </row>
    <row r="93" ht="12.75">
      <c r="L93" s="14"/>
    </row>
    <row r="94" ht="12.75">
      <c r="L94" s="14"/>
    </row>
    <row r="95" ht="12.75">
      <c r="L95" s="14"/>
    </row>
    <row r="96" ht="12.75">
      <c r="L96" s="14"/>
    </row>
    <row r="97" ht="12.75">
      <c r="L97" s="14"/>
    </row>
    <row r="98" ht="12.75">
      <c r="L98" s="14"/>
    </row>
    <row r="99" ht="12.75">
      <c r="L99" s="14"/>
    </row>
    <row r="100" ht="12.75">
      <c r="L100" s="14"/>
    </row>
    <row r="101" ht="12.75">
      <c r="L101" s="14"/>
    </row>
    <row r="102" ht="12.75">
      <c r="L102" s="14"/>
    </row>
    <row r="103" ht="12.75">
      <c r="L103" s="14"/>
    </row>
    <row r="104" ht="12.75">
      <c r="L104" s="14"/>
    </row>
    <row r="105" ht="12.75">
      <c r="L105" s="14"/>
    </row>
    <row r="106" ht="12.75">
      <c r="L106" s="14"/>
    </row>
    <row r="107" ht="12.75">
      <c r="L107" s="14"/>
    </row>
    <row r="108" ht="12.75">
      <c r="L108" s="14"/>
    </row>
    <row r="109" ht="12.75">
      <c r="L109" s="14"/>
    </row>
    <row r="110" ht="12.75">
      <c r="L110" s="14"/>
    </row>
    <row r="111" ht="12.75">
      <c r="L111" s="14"/>
    </row>
    <row r="112" ht="12.75">
      <c r="L112" s="14"/>
    </row>
    <row r="113" ht="12.75">
      <c r="L113" s="14"/>
    </row>
    <row r="114" ht="12.75">
      <c r="L114" s="14"/>
    </row>
    <row r="115" ht="12.75">
      <c r="L115" s="14"/>
    </row>
    <row r="116" ht="12.75">
      <c r="L116" s="14"/>
    </row>
    <row r="117" ht="12.75">
      <c r="L117" s="14"/>
    </row>
    <row r="118" ht="12.75">
      <c r="L118" s="14"/>
    </row>
    <row r="119" ht="12.75">
      <c r="L119" s="14"/>
    </row>
    <row r="120" ht="12.75">
      <c r="L120" s="14"/>
    </row>
    <row r="121" ht="12.75">
      <c r="L121" s="14"/>
    </row>
    <row r="122" ht="12.75">
      <c r="L122" s="14"/>
    </row>
    <row r="123" ht="12.75">
      <c r="L123" s="14"/>
    </row>
    <row r="124" ht="12.75">
      <c r="L124" s="14"/>
    </row>
    <row r="125" ht="12.75">
      <c r="L125" s="14"/>
    </row>
    <row r="126" ht="12.75">
      <c r="L126" s="14"/>
    </row>
    <row r="127" ht="12.75">
      <c r="L127" s="14"/>
    </row>
    <row r="128" ht="12.75">
      <c r="L128" s="14"/>
    </row>
    <row r="129" ht="12.75">
      <c r="L129" s="14"/>
    </row>
    <row r="130" ht="12.75">
      <c r="L130" s="14"/>
    </row>
    <row r="131" ht="12.75">
      <c r="L131" s="14"/>
    </row>
    <row r="132" ht="12.75">
      <c r="L132" s="14"/>
    </row>
    <row r="133" ht="12.75">
      <c r="L133" s="14"/>
    </row>
    <row r="134" ht="12.75">
      <c r="L134" s="14"/>
    </row>
    <row r="135" ht="12.75">
      <c r="L135" s="14"/>
    </row>
    <row r="136" ht="12.75">
      <c r="L136" s="14"/>
    </row>
    <row r="137" ht="12.75">
      <c r="L137" s="14"/>
    </row>
    <row r="138" ht="12.75">
      <c r="L138" s="14"/>
    </row>
    <row r="139" ht="12.75">
      <c r="L139" s="14"/>
    </row>
    <row r="140" ht="12.75">
      <c r="L140" s="14"/>
    </row>
    <row r="141" ht="12.75">
      <c r="L141" s="14"/>
    </row>
    <row r="142" ht="12.75">
      <c r="L142" s="14"/>
    </row>
    <row r="143" ht="12.75">
      <c r="L143" s="14"/>
    </row>
    <row r="144" ht="12.75">
      <c r="L144" s="14"/>
    </row>
    <row r="145" ht="12.75">
      <c r="L145" s="14"/>
    </row>
    <row r="146" ht="12.75">
      <c r="L146" s="14"/>
    </row>
    <row r="147" ht="12.75">
      <c r="L147" s="14"/>
    </row>
    <row r="148" ht="12.75">
      <c r="L148" s="14"/>
    </row>
    <row r="149" ht="12.75">
      <c r="L149" s="14"/>
    </row>
    <row r="150" ht="12.75">
      <c r="L150" s="14"/>
    </row>
    <row r="151" ht="12.75">
      <c r="L151" s="14"/>
    </row>
    <row r="152" ht="12.75">
      <c r="L152" s="14"/>
    </row>
    <row r="153" ht="12.75">
      <c r="L153" s="14"/>
    </row>
    <row r="154" ht="12.75">
      <c r="L154" s="14"/>
    </row>
    <row r="155" ht="12.75">
      <c r="L155" s="14"/>
    </row>
    <row r="156" ht="12.75">
      <c r="L156" s="14"/>
    </row>
    <row r="157" ht="12.75">
      <c r="L157" s="14"/>
    </row>
    <row r="158" ht="12.75">
      <c r="L158" s="14"/>
    </row>
    <row r="159" ht="12.75">
      <c r="L159" s="14"/>
    </row>
    <row r="160" ht="12.75">
      <c r="L160" s="14"/>
    </row>
    <row r="161" ht="12.75">
      <c r="L161" s="14"/>
    </row>
    <row r="162" ht="12.75">
      <c r="L162" s="14"/>
    </row>
    <row r="163" ht="12.75">
      <c r="L163" s="14"/>
    </row>
    <row r="164" ht="12.75">
      <c r="L164" s="14"/>
    </row>
    <row r="165" ht="12.75">
      <c r="L165" s="14"/>
    </row>
    <row r="166" ht="12.75">
      <c r="L166" s="14"/>
    </row>
    <row r="167" ht="12.75">
      <c r="L167" s="14"/>
    </row>
    <row r="168" ht="12.75">
      <c r="L168" s="14"/>
    </row>
    <row r="169" ht="12.75">
      <c r="L169" s="14"/>
    </row>
    <row r="170" ht="12.75">
      <c r="L170" s="14"/>
    </row>
    <row r="171" ht="12.75">
      <c r="L171" s="14"/>
    </row>
    <row r="172" ht="12.75">
      <c r="L172" s="14"/>
    </row>
    <row r="173" ht="12.75">
      <c r="L173" s="14"/>
    </row>
    <row r="174" ht="12.75">
      <c r="L174" s="14"/>
    </row>
    <row r="175" ht="12.75">
      <c r="L175" s="14"/>
    </row>
    <row r="176" ht="12.75">
      <c r="L176" s="14"/>
    </row>
    <row r="177" ht="12.75">
      <c r="L177" s="14"/>
    </row>
    <row r="178" ht="12.75">
      <c r="L178" s="14"/>
    </row>
    <row r="179" ht="12.75">
      <c r="L179" s="14"/>
    </row>
    <row r="180" ht="12.75">
      <c r="L180" s="14"/>
    </row>
  </sheetData>
  <sheetProtection/>
  <mergeCells count="17">
    <mergeCell ref="W6:AA15"/>
    <mergeCell ref="W16:AA21"/>
    <mergeCell ref="O19:T19"/>
    <mergeCell ref="O20:T20"/>
    <mergeCell ref="O21:T21"/>
    <mergeCell ref="O1:T1"/>
    <mergeCell ref="W2:AA2"/>
    <mergeCell ref="W3:AA3"/>
    <mergeCell ref="W4:AA5"/>
    <mergeCell ref="A46:J46"/>
    <mergeCell ref="K46:U46"/>
    <mergeCell ref="O22:T22"/>
    <mergeCell ref="W22:AA31"/>
    <mergeCell ref="W35:AA41"/>
    <mergeCell ref="O43:T43"/>
    <mergeCell ref="O44:T44"/>
    <mergeCell ref="O45:T45"/>
  </mergeCells>
  <hyperlinks>
    <hyperlink ref="K46" r:id="rId1" display="http://warchaos.ru/book/0"/>
    <hyperlink ref="W3:AA3" r:id="rId2" display="http://tim-twiser.clan.su"/>
  </hyperlinks>
  <printOptions/>
  <pageMargins left="0.75" right="0.75" top="1" bottom="1" header="0.5" footer="0.5"/>
  <pageSetup orientation="portrait" paperSize="9"/>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HomeUser</cp:lastModifiedBy>
  <cp:lastPrinted>2011-03-09T09:04:59Z</cp:lastPrinted>
  <dcterms:created xsi:type="dcterms:W3CDTF">1996-10-08T23:32:33Z</dcterms:created>
  <dcterms:modified xsi:type="dcterms:W3CDTF">2011-04-01T19:26:35Z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